
<file path=[Content_Types].xml><?xml version="1.0" encoding="utf-8"?>
<Types xmlns="http://schemas.openxmlformats.org/package/2006/content-types">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drawings/drawing51.xml" ContentType="application/vnd.openxmlformats-officedocument.drawing+xml"/>
  <Override PartName="/xl/drawings/drawing52.xml" ContentType="application/vnd.openxmlformats-officedocument.drawing+xml"/>
  <Override PartName="/xl/drawings/drawing53.xml" ContentType="application/vnd.openxmlformats-officedocument.drawing+xml"/>
  <Override PartName="/xl/drawings/drawing54.xml" ContentType="application/vnd.openxmlformats-officedocument.drawing+xml"/>
  <Override PartName="/xl/drawings/drawing55.xml" ContentType="application/vnd.openxmlformats-officedocument.drawing+xml"/>
  <Override PartName="/xl/drawings/drawing56.xml" ContentType="application/vnd.openxmlformats-officedocument.drawing+xml"/>
  <Override PartName="/xl/drawings/drawing57.xml" ContentType="application/vnd.openxmlformats-officedocument.drawing+xml"/>
  <Override PartName="/xl/drawings/drawing58.xml" ContentType="application/vnd.openxmlformats-officedocument.drawing+xml"/>
  <Override PartName="/xl/drawings/drawing59.xml" ContentType="application/vnd.openxmlformats-officedocument.drawing+xml"/>
  <Override PartName="/xl/drawings/drawing60.xml" ContentType="application/vnd.openxmlformats-officedocument.drawing+xml"/>
  <Override PartName="/xl/drawings/drawing61.xml" ContentType="application/vnd.openxmlformats-officedocument.drawing+xml"/>
  <Override PartName="/xl/drawings/drawing62.xml" ContentType="application/vnd.openxmlformats-officedocument.drawing+xml"/>
  <Override PartName="/xl/drawings/drawing63.xml" ContentType="application/vnd.openxmlformats-officedocument.drawing+xml"/>
  <Override PartName="/xl/drawings/drawing64.xml" ContentType="application/vnd.openxmlformats-officedocument.drawing+xml"/>
  <Override PartName="/xl/drawings/drawing65.xml" ContentType="application/vnd.openxmlformats-officedocument.drawing+xml"/>
  <Override PartName="/xl/drawings/drawing66.xml" ContentType="application/vnd.openxmlformats-officedocument.drawing+xml"/>
  <Override PartName="/xl/drawings/drawing67.xml" ContentType="application/vnd.openxmlformats-officedocument.drawing+xml"/>
  <Override PartName="/xl/drawings/drawing68.xml" ContentType="application/vnd.openxmlformats-officedocument.drawing+xml"/>
  <Override PartName="/xl/drawings/drawing69.xml" ContentType="application/vnd.openxmlformats-officedocument.drawing+xml"/>
  <Override PartName="/xl/drawings/drawing70.xml" ContentType="application/vnd.openxmlformats-officedocument.drawing+xml"/>
  <Override PartName="/xl/drawings/drawing71.xml" ContentType="application/vnd.openxmlformats-officedocument.drawing+xml"/>
  <Override PartName="/xl/drawings/drawing72.xml" ContentType="application/vnd.openxmlformats-officedocument.drawing+xml"/>
  <Override PartName="/xl/drawings/drawing73.xml" ContentType="application/vnd.openxmlformats-officedocument.drawing+xml"/>
  <Override PartName="/xl/drawings/drawing74.xml" ContentType="application/vnd.openxmlformats-officedocument.drawing+xml"/>
  <Override PartName="/xl/drawings/drawing75.xml" ContentType="application/vnd.openxmlformats-officedocument.drawing+xml"/>
  <Override PartName="/xl/drawings/drawing76.xml" ContentType="application/vnd.openxmlformats-officedocument.drawing+xml"/>
  <Override PartName="/xl/drawings/drawing77.xml" ContentType="application/vnd.openxmlformats-officedocument.drawing+xml"/>
  <Override PartName="/xl/drawings/drawing78.xml" ContentType="application/vnd.openxmlformats-officedocument.drawing+xml"/>
  <Override PartName="/xl/drawings/drawing79.xml" ContentType="application/vnd.openxmlformats-officedocument.drawing+xml"/>
  <Override PartName="/xl/drawings/drawing80.xml" ContentType="application/vnd.openxmlformats-officedocument.drawing+xml"/>
  <Override PartName="/xl/drawings/drawing81.xml" ContentType="application/vnd.openxmlformats-officedocument.drawing+xml"/>
  <Override PartName="/xl/drawings/drawing82.xml" ContentType="application/vnd.openxmlformats-officedocument.drawing+xml"/>
  <Override PartName="/xl/drawings/drawing83.xml" ContentType="application/vnd.openxmlformats-officedocument.drawing+xml"/>
  <Override PartName="/xl/drawings/drawing84.xml" ContentType="application/vnd.openxmlformats-officedocument.drawing+xml"/>
  <Override PartName="/xl/drawings/drawing85.xml" ContentType="application/vnd.openxmlformats-officedocument.drawing+xml"/>
  <Override PartName="/xl/drawings/drawing86.xml" ContentType="application/vnd.openxmlformats-officedocument.drawing+xml"/>
  <Override PartName="/xl/drawings/drawing87.xml" ContentType="application/vnd.openxmlformats-officedocument.drawing+xml"/>
  <Override PartName="/xl/drawings/drawing88.xml" ContentType="application/vnd.openxmlformats-officedocument.drawing+xml"/>
  <Override PartName="/xl/drawings/drawing89.xml" ContentType="application/vnd.openxmlformats-officedocument.drawing+xml"/>
  <Override PartName="/xl/drawings/drawing90.xml" ContentType="application/vnd.openxmlformats-officedocument.drawing+xml"/>
  <Override PartName="/xl/drawings/drawing91.xml" ContentType="application/vnd.openxmlformats-officedocument.drawing+xml"/>
  <Override PartName="/xl/drawings/drawing92.xml" ContentType="application/vnd.openxmlformats-officedocument.drawing+xml"/>
  <Override PartName="/xl/drawings/drawing93.xml" ContentType="application/vnd.openxmlformats-officedocument.drawing+xml"/>
  <Override PartName="/xl/drawings/drawing94.xml" ContentType="application/vnd.openxmlformats-officedocument.drawing+xml"/>
  <Override PartName="/xl/drawings/drawing95.xml" ContentType="application/vnd.openxmlformats-officedocument.drawing+xml"/>
  <Override PartName="/xl/drawings/drawing96.xml" ContentType="application/vnd.openxmlformats-officedocument.drawing+xml"/>
  <Override PartName="/xl/drawings/drawing97.xml" ContentType="application/vnd.openxmlformats-officedocument.drawing+xml"/>
  <Override PartName="/xl/drawings/drawing98.xml" ContentType="application/vnd.openxmlformats-officedocument.drawing+xml"/>
  <Override PartName="/xl/drawings/drawing99.xml" ContentType="application/vnd.openxmlformats-officedocument.drawing+xml"/>
  <Override PartName="/xl/drawings/drawing100.xml" ContentType="application/vnd.openxmlformats-officedocument.drawing+xml"/>
  <Override PartName="/xl/drawings/drawing101.xml" ContentType="application/vnd.openxmlformats-officedocument.drawing+xml"/>
  <Override PartName="/xl/drawings/drawing102.xml" ContentType="application/vnd.openxmlformats-officedocument.drawing+xml"/>
  <Override PartName="/xl/drawings/drawing103.xml" ContentType="application/vnd.openxmlformats-officedocument.drawing+xml"/>
  <Override PartName="/xl/drawings/drawing104.xml" ContentType="application/vnd.openxmlformats-officedocument.drawing+xml"/>
  <Override PartName="/xl/drawings/drawing105.xml" ContentType="application/vnd.openxmlformats-officedocument.drawing+xml"/>
  <Override PartName="/xl/drawings/drawing106.xml" ContentType="application/vnd.openxmlformats-officedocument.drawing+xml"/>
  <Override PartName="/xl/drawings/drawing107.xml" ContentType="application/vnd.openxmlformats-officedocument.drawing+xml"/>
  <Override PartName="/xl/drawings/drawing108.xml" ContentType="application/vnd.openxmlformats-officedocument.drawing+xml"/>
  <Override PartName="/xl/drawings/drawing109.xml" ContentType="application/vnd.openxmlformats-officedocument.drawing+xml"/>
  <Override PartName="/xl/drawings/drawing110.xml" ContentType="application/vnd.openxmlformats-officedocument.drawing+xml"/>
  <Override PartName="/xl/drawings/drawing111.xml" ContentType="application/vnd.openxmlformats-officedocument.drawing+xml"/>
  <Override PartName="/xl/drawings/drawing112.xml" ContentType="application/vnd.openxmlformats-officedocument.drawing+xml"/>
  <Override PartName="/xl/drawings/drawing113.xml" ContentType="application/vnd.openxmlformats-officedocument.drawing+xml"/>
  <Override PartName="/xl/drawings/drawing114.xml" ContentType="application/vnd.openxmlformats-officedocument.drawing+xml"/>
  <Override PartName="/xl/drawings/drawing115.xml" ContentType="application/vnd.openxmlformats-officedocument.drawing+xml"/>
  <Override PartName="/xl/drawings/drawing116.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8"/>
  <workbookPr codeName="ThisWorkbook" defaultThemeVersion="124226"/>
  <mc:AlternateContent xmlns:mc="http://schemas.openxmlformats.org/markup-compatibility/2006">
    <mc:Choice Requires="x15">
      <x15ac:absPath xmlns:x15ac="http://schemas.microsoft.com/office/spreadsheetml/2010/11/ac" url="/Users/yazan/Downloads/"/>
    </mc:Choice>
  </mc:AlternateContent>
  <xr:revisionPtr revIDLastSave="0" documentId="13_ncr:1_{BBFC8575-EC0D-6041-B8B5-C6494F8642F6}" xr6:coauthVersionLast="47" xr6:coauthVersionMax="47" xr10:uidLastSave="{00000000-0000-0000-0000-000000000000}"/>
  <bookViews>
    <workbookView xWindow="0" yWindow="640" windowWidth="23260" windowHeight="12580" tabRatio="845" activeTab="2" xr2:uid="{00000000-000D-0000-FFFF-FFFF00000000}"/>
  </bookViews>
  <sheets>
    <sheet name="JOB TOTAL" sheetId="1" r:id="rId1"/>
    <sheet name="CANOPY - Ground Floor (1)" sheetId="2" r:id="rId2"/>
    <sheet name="FIRE SUPP - Ground Floor (1)" sheetId="3" r:id="rId3"/>
    <sheet name="SPIRAL DUCT (11)" sheetId="4" state="hidden" r:id="rId4"/>
    <sheet name="SPIRAL DUCT (12)" sheetId="5" state="hidden" r:id="rId5"/>
    <sheet name="SUPPLY DUCT  (9)" sheetId="6" state="hidden" r:id="rId6"/>
    <sheet name="EXTRACT DUCT (9)" sheetId="7" state="hidden" r:id="rId7"/>
    <sheet name="AHU TEST (9)" sheetId="8" state="hidden" r:id="rId8"/>
    <sheet name="CONTRACT (9)" sheetId="9" state="hidden" r:id="rId9"/>
    <sheet name="VENT CLG (9)" sheetId="10" state="hidden" r:id="rId10"/>
    <sheet name="AEROLYS (9)" sheetId="11" state="hidden" r:id="rId11"/>
    <sheet name="POLLUSTOP (9)" sheetId="12" state="hidden" r:id="rId12"/>
    <sheet name="POLLU-LITE (9)" sheetId="13" state="hidden" r:id="rId13"/>
    <sheet name="REACTAWAY  (9)" sheetId="14" state="hidden" r:id="rId14"/>
    <sheet name="SPIRAL DUCT (13)" sheetId="15" state="hidden" r:id="rId15"/>
    <sheet name="SUPPLY DUCT  (10)" sheetId="16" state="hidden" r:id="rId16"/>
    <sheet name="EXTRACT DUCT (10)" sheetId="17" state="hidden" r:id="rId17"/>
    <sheet name="AHU TEST (10)" sheetId="18" state="hidden" r:id="rId18"/>
    <sheet name="CONTRACT (10)" sheetId="19" state="hidden" r:id="rId19"/>
    <sheet name="VENT CLG (10)" sheetId="20" state="hidden" r:id="rId20"/>
    <sheet name="AEROLYS (10)" sheetId="21" state="hidden" r:id="rId21"/>
    <sheet name="POLLUSTOP (10)" sheetId="22" state="hidden" r:id="rId22"/>
    <sheet name="POLLU-LITE (10)" sheetId="23" state="hidden" r:id="rId23"/>
    <sheet name="REACTAWAY  (10)" sheetId="24" state="hidden" r:id="rId24"/>
    <sheet name="SPIRAL DUCT (14)" sheetId="25" state="hidden" r:id="rId25"/>
    <sheet name="SUPPLY DUCT  (11)" sheetId="26" state="hidden" r:id="rId26"/>
    <sheet name="EXTRACT DUCT (11)" sheetId="27" state="hidden" r:id="rId27"/>
    <sheet name="AHU TEST (11)" sheetId="28" state="hidden" r:id="rId28"/>
    <sheet name="CONTRACT (11)" sheetId="29" state="hidden" r:id="rId29"/>
    <sheet name="VENT CLG (11)" sheetId="30" state="hidden" r:id="rId30"/>
    <sheet name="AEROLYS (11)" sheetId="31" state="hidden" r:id="rId31"/>
    <sheet name="POLLUSTOP (11)" sheetId="32" state="hidden" r:id="rId32"/>
    <sheet name="POLLU-LITE (11)" sheetId="33" state="hidden" r:id="rId33"/>
    <sheet name="REACTAWAY  (11)" sheetId="34" state="hidden" r:id="rId34"/>
    <sheet name="SPIRAL DUCT (15)" sheetId="35" state="hidden" r:id="rId35"/>
    <sheet name="SUPPLY DUCT  (12)" sheetId="36" state="hidden" r:id="rId36"/>
    <sheet name="EXTRACT DUCT (12)" sheetId="37" state="hidden" r:id="rId37"/>
    <sheet name="AHU TEST (12)" sheetId="38" state="hidden" r:id="rId38"/>
    <sheet name="CONTRACT (12)" sheetId="39" state="hidden" r:id="rId39"/>
    <sheet name="VENT CLG (12)" sheetId="40" state="hidden" r:id="rId40"/>
    <sheet name="AEROLYS (12)" sheetId="41" state="hidden" r:id="rId41"/>
    <sheet name="POLLUSTOP (12)" sheetId="42" state="hidden" r:id="rId42"/>
    <sheet name="POLLU-LITE (12)" sheetId="43" state="hidden" r:id="rId43"/>
    <sheet name="REACTAWAY  (12)" sheetId="44" state="hidden" r:id="rId44"/>
    <sheet name="SPIRAL DUCT (16)" sheetId="45" state="hidden" r:id="rId45"/>
    <sheet name="SPIRAL DUCT (17)" sheetId="46" state="hidden" r:id="rId46"/>
    <sheet name="SUPPLY DUCT  (13)" sheetId="47" state="hidden" r:id="rId47"/>
    <sheet name="EXTRACT DUCT (13)" sheetId="48" state="hidden" r:id="rId48"/>
    <sheet name="AHU TEST (13)" sheetId="49" state="hidden" r:id="rId49"/>
    <sheet name="CONTRACT (13)" sheetId="50" state="hidden" r:id="rId50"/>
    <sheet name="VENT CLG (13)" sheetId="51" state="hidden" r:id="rId51"/>
    <sheet name="AEROLYS (13)" sheetId="52" state="hidden" r:id="rId52"/>
    <sheet name="POLLUSTOP (13)" sheetId="53" state="hidden" r:id="rId53"/>
    <sheet name="POLLU-LITE (13)" sheetId="54" state="hidden" r:id="rId54"/>
    <sheet name="REACTAWAY  (13)" sheetId="55" state="hidden" r:id="rId55"/>
    <sheet name="SPIRAL DUCT (18)" sheetId="56" state="hidden" r:id="rId56"/>
    <sheet name="SUPPLY DUCT  (14)" sheetId="57" state="hidden" r:id="rId57"/>
    <sheet name="EXTRACT DUCT (14)" sheetId="58" state="hidden" r:id="rId58"/>
    <sheet name="AHU TEST (14)" sheetId="59" state="hidden" r:id="rId59"/>
    <sheet name="CONTRACT (14)" sheetId="60" state="hidden" r:id="rId60"/>
    <sheet name="VENT CLG (14)" sheetId="61" state="hidden" r:id="rId61"/>
    <sheet name="AEROLYS (14)" sheetId="62" state="hidden" r:id="rId62"/>
    <sheet name="POLLUSTOP (14)" sheetId="63" state="hidden" r:id="rId63"/>
    <sheet name="POLLU-LITE (14)" sheetId="64" state="hidden" r:id="rId64"/>
    <sheet name="REACTAWAY  (14)" sheetId="65" state="hidden" r:id="rId65"/>
    <sheet name="SPIRAL DUCT (19)" sheetId="66" state="hidden" r:id="rId66"/>
    <sheet name="SUPPLY DUCT  (15)" sheetId="67" state="hidden" r:id="rId67"/>
    <sheet name="EXTRACT DUCT (15)" sheetId="68" state="hidden" r:id="rId68"/>
    <sheet name="AHU TEST (15)" sheetId="69" state="hidden" r:id="rId69"/>
    <sheet name="CONTRACT (15)" sheetId="70" state="hidden" r:id="rId70"/>
    <sheet name="VENT CLG (15)" sheetId="71" state="hidden" r:id="rId71"/>
    <sheet name="AEROLYS (15)" sheetId="72" state="hidden" r:id="rId72"/>
    <sheet name="POLLUSTOP (15)" sheetId="73" state="hidden" r:id="rId73"/>
    <sheet name="POLLU-LITE (15)" sheetId="74" state="hidden" r:id="rId74"/>
    <sheet name="REACTAWAY  (15)" sheetId="75" state="hidden" r:id="rId75"/>
    <sheet name="SPIRAL DUCT (20)" sheetId="76" state="hidden" r:id="rId76"/>
    <sheet name="SUPPLY DUCT  (16)" sheetId="77" state="hidden" r:id="rId77"/>
    <sheet name="EXTRACT DUCT (16)" sheetId="78" state="hidden" r:id="rId78"/>
    <sheet name="AHU TEST (16)" sheetId="79" state="hidden" r:id="rId79"/>
    <sheet name="CONTRACT (16)" sheetId="80" state="hidden" r:id="rId80"/>
    <sheet name="VENT CLG (16)" sheetId="81" state="hidden" r:id="rId81"/>
    <sheet name="AEROLYS (16)" sheetId="82" state="hidden" r:id="rId82"/>
    <sheet name="POLLUSTOP (16)" sheetId="83" state="hidden" r:id="rId83"/>
    <sheet name="POLLU-LITE (16)" sheetId="84" state="hidden" r:id="rId84"/>
    <sheet name="REACTAWAY  (16)" sheetId="85" state="hidden" r:id="rId85"/>
    <sheet name="SPIRAL DUCT (6)" sheetId="86" state="hidden" r:id="rId86"/>
    <sheet name="SPIRAL DUCT (7)" sheetId="87" state="hidden" r:id="rId87"/>
    <sheet name="SUPPLY DUCT  (5)" sheetId="88" state="hidden" r:id="rId88"/>
    <sheet name="EXTRACT DUCT (5)" sheetId="89" state="hidden" r:id="rId89"/>
    <sheet name="AHU TEST (5)" sheetId="90" state="hidden" r:id="rId90"/>
    <sheet name="CONTRACT (5)" sheetId="91" state="hidden" r:id="rId91"/>
    <sheet name="VENT CLG (5)" sheetId="92" state="hidden" r:id="rId92"/>
    <sheet name="AEROLYS (5)" sheetId="93" state="hidden" r:id="rId93"/>
    <sheet name="POLLUSTOP (5)" sheetId="94" state="hidden" r:id="rId94"/>
    <sheet name="POLLU-LITE (5)" sheetId="95" state="hidden" r:id="rId95"/>
    <sheet name="REACTAWAY  (5)" sheetId="96" state="hidden" r:id="rId96"/>
    <sheet name="SPIRAL DUCT (8)" sheetId="97" state="hidden" r:id="rId97"/>
    <sheet name="SUPPLY DUCT  (6)" sheetId="98" state="hidden" r:id="rId98"/>
    <sheet name="EXTRACT DUCT (6)" sheetId="99" state="hidden" r:id="rId99"/>
    <sheet name="AHU TEST (6)" sheetId="100" state="hidden" r:id="rId100"/>
    <sheet name="CONTRACT (6)" sheetId="101" state="hidden" r:id="rId101"/>
    <sheet name="VENT CLG (6)" sheetId="102" state="hidden" r:id="rId102"/>
    <sheet name="AEROLYS (6)" sheetId="103" state="hidden" r:id="rId103"/>
    <sheet name="POLLUSTOP (6)" sheetId="104" state="hidden" r:id="rId104"/>
    <sheet name="POLLU-LITE (6)" sheetId="105" state="hidden" r:id="rId105"/>
    <sheet name="REACTAWAY  (6)" sheetId="106" state="hidden" r:id="rId106"/>
    <sheet name="SPIRAL DUCT (9)" sheetId="107" state="hidden" r:id="rId107"/>
    <sheet name="SUPPLY DUCT  (7)" sheetId="108" state="hidden" r:id="rId108"/>
    <sheet name="EXTRACT DUCT (7)" sheetId="109" state="hidden" r:id="rId109"/>
    <sheet name="AHU TEST (7)" sheetId="110" state="hidden" r:id="rId110"/>
    <sheet name="CONTRACT (7)" sheetId="111" state="hidden" r:id="rId111"/>
    <sheet name="VENT CLG (7)" sheetId="112" state="hidden" r:id="rId112"/>
    <sheet name="AEROLYS (7)" sheetId="113" state="hidden" r:id="rId113"/>
    <sheet name="POLLUSTOP (7)" sheetId="114" state="hidden" r:id="rId114"/>
    <sheet name="POLLU-LITE (7)" sheetId="115" state="hidden" r:id="rId115"/>
    <sheet name="REACTAWAY  (7)" sheetId="116" state="hidden" r:id="rId116"/>
    <sheet name="SPIRAL DUCT (10)" sheetId="117" state="hidden" r:id="rId117"/>
    <sheet name="SUPPLY DUCT  (8)" sheetId="118" state="hidden" r:id="rId118"/>
    <sheet name="EXTRACT DUCT (8)" sheetId="119" state="hidden" r:id="rId119"/>
    <sheet name="AHU TEST (8)" sheetId="120" state="hidden" r:id="rId120"/>
    <sheet name="CONTRACT (8)" sheetId="121" state="hidden" r:id="rId121"/>
    <sheet name="VENT CLG (8)" sheetId="122" state="hidden" r:id="rId122"/>
    <sheet name="AEROLYS (8)" sheetId="123" state="hidden" r:id="rId123"/>
    <sheet name="POLLUSTOP (8)" sheetId="124" state="hidden" r:id="rId124"/>
    <sheet name="POLLU-LITE (8)" sheetId="125" state="hidden" r:id="rId125"/>
    <sheet name="REACTAWAY  (8)" sheetId="126" state="hidden" r:id="rId126"/>
    <sheet name="SPIRAL DUCT (5)" sheetId="127" state="hidden" r:id="rId127"/>
    <sheet name="SPIRAL DUCT (3)" sheetId="128" state="hidden" r:id="rId128"/>
    <sheet name="SUPPLY DUCT  (3)" sheetId="129" state="hidden" r:id="rId129"/>
    <sheet name="EXTRACT DUCT (3)" sheetId="130" state="hidden" r:id="rId130"/>
    <sheet name="AHU TEST (3)" sheetId="131" state="hidden" r:id="rId131"/>
    <sheet name="CONTRACT (3)" sheetId="132" state="hidden" r:id="rId132"/>
    <sheet name="VENT CLG (3)" sheetId="133" state="hidden" r:id="rId133"/>
    <sheet name="AEROLYS (3)" sheetId="134" state="hidden" r:id="rId134"/>
    <sheet name="POLLUSTOP (3)" sheetId="135" state="hidden" r:id="rId135"/>
    <sheet name="POLLU-LITE (3)" sheetId="136" state="hidden" r:id="rId136"/>
    <sheet name="REACTAWAY  (3)" sheetId="137" state="hidden" r:id="rId137"/>
    <sheet name="SPIRAL DUCT (4)" sheetId="138" state="hidden" r:id="rId138"/>
    <sheet name="SUPPLY DUCT  (4)" sheetId="139" state="hidden" r:id="rId139"/>
    <sheet name="EXTRACT DUCT (4)" sheetId="140" state="hidden" r:id="rId140"/>
    <sheet name="AHU TEST (4)" sheetId="141" state="hidden" r:id="rId141"/>
    <sheet name="CONTRACT (4)" sheetId="142" state="hidden" r:id="rId142"/>
    <sheet name="VENT CLG (4)" sheetId="143" state="hidden" r:id="rId143"/>
    <sheet name="AEROLYS (4)" sheetId="144" state="hidden" r:id="rId144"/>
    <sheet name="POLLUSTOP (4)" sheetId="145" state="hidden" r:id="rId145"/>
    <sheet name="POLLU-LITE (4)" sheetId="146" state="hidden" r:id="rId146"/>
    <sheet name="REACTAWAY  (4)" sheetId="147" state="hidden" r:id="rId147"/>
    <sheet name="SPIRAL DUCT (2)" sheetId="148" state="hidden" r:id="rId148"/>
    <sheet name="SUPPLY DUCT  (2)" sheetId="149" state="hidden" r:id="rId149"/>
    <sheet name="EXTRACT DUCT (2)" sheetId="150" state="hidden" r:id="rId150"/>
    <sheet name="AHU TEST (2)" sheetId="151" state="hidden" r:id="rId151"/>
    <sheet name="CONTRACT (2)" sheetId="152" state="hidden" r:id="rId152"/>
    <sheet name="VENT CLG (2)" sheetId="153" state="hidden" r:id="rId153"/>
    <sheet name="AEROLYS (2)" sheetId="154" state="hidden" r:id="rId154"/>
    <sheet name="POLLUSTOP (2)" sheetId="155" state="hidden" r:id="rId155"/>
    <sheet name="POLLU-LITE (2)" sheetId="156" state="hidden" r:id="rId156"/>
    <sheet name="REACTAWAY  (2)" sheetId="157" state="hidden" r:id="rId157"/>
    <sheet name="Quote Price Schedule" sheetId="158" state="hidden" r:id="rId158"/>
    <sheet name="SPIRAL DUCT" sheetId="159" state="hidden" r:id="rId159"/>
    <sheet name="SUPPLY DUCT " sheetId="160" state="hidden" r:id="rId160"/>
    <sheet name="EXTRACT DUCT" sheetId="161" state="hidden" r:id="rId161"/>
    <sheet name="AHU TEST" sheetId="162" state="hidden" r:id="rId162"/>
    <sheet name="CONTRACT" sheetId="163" state="hidden" r:id="rId163"/>
    <sheet name="VENT CLG" sheetId="164" state="hidden" r:id="rId164"/>
    <sheet name="AEROLYS" sheetId="165" state="hidden" r:id="rId165"/>
    <sheet name="POLLUSTOP" sheetId="166" state="hidden" r:id="rId166"/>
    <sheet name="POLLU-LITE" sheetId="167" state="hidden" r:id="rId167"/>
    <sheet name="REACTAWAY " sheetId="168" state="hidden" r:id="rId168"/>
    <sheet name="INFECTAWAY" sheetId="169" state="hidden" r:id="rId169"/>
    <sheet name="Base Costs" sheetId="170" state="hidden" r:id="rId170"/>
    <sheet name="CC" sheetId="171" state="hidden" r:id="rId171"/>
    <sheet name="CCBASE" sheetId="172" state="hidden" r:id="rId172"/>
    <sheet name="ProjectData" sheetId="173" state="hidden" r:id="rId173"/>
    <sheet name="PRICING_SUMMARY" sheetId="174" r:id="rId174"/>
  </sheets>
  <externalReferences>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s>
  <definedNames>
    <definedName name="FanSize">'Base Costs'!$I$4:$I$10</definedName>
    <definedName name="_xlnm.Print_Area" localSheetId="164">AEROLYS!$A$1:$L$69</definedName>
    <definedName name="_xlnm.Print_Area" localSheetId="20">'AEROLYS (10)'!$A$1:$L$69</definedName>
    <definedName name="_xlnm.Print_Area" localSheetId="30">'AEROLYS (11)'!$A$1:$L$69</definedName>
    <definedName name="_xlnm.Print_Area" localSheetId="40">'AEROLYS (12)'!$A$1:$L$69</definedName>
    <definedName name="_xlnm.Print_Area" localSheetId="51">'AEROLYS (13)'!$A$1:$L$69</definedName>
    <definedName name="_xlnm.Print_Area" localSheetId="61">'AEROLYS (14)'!$A$1:$L$69</definedName>
    <definedName name="_xlnm.Print_Area" localSheetId="71">'AEROLYS (15)'!$A$1:$L$69</definedName>
    <definedName name="_xlnm.Print_Area" localSheetId="81">'AEROLYS (16)'!$A$1:$L$69</definedName>
    <definedName name="_xlnm.Print_Area" localSheetId="153">'AEROLYS (2)'!$A$1:$L$69</definedName>
    <definedName name="_xlnm.Print_Area" localSheetId="133">'AEROLYS (3)'!$A$1:$L$69</definedName>
    <definedName name="_xlnm.Print_Area" localSheetId="143">'AEROLYS (4)'!$A$1:$L$69</definedName>
    <definedName name="_xlnm.Print_Area" localSheetId="92">'AEROLYS (5)'!$A$1:$L$69</definedName>
    <definedName name="_xlnm.Print_Area" localSheetId="102">'AEROLYS (6)'!$A$1:$L$69</definedName>
    <definedName name="_xlnm.Print_Area" localSheetId="112">'AEROLYS (7)'!$A$1:$L$69</definedName>
    <definedName name="_xlnm.Print_Area" localSheetId="122">'AEROLYS (8)'!$A$1:$L$69</definedName>
    <definedName name="_xlnm.Print_Area" localSheetId="10">'AEROLYS (9)'!$A$1:$L$69</definedName>
    <definedName name="_xlnm.Print_Area" localSheetId="161">'AHU TEST'!$B$1:$K$74</definedName>
    <definedName name="_xlnm.Print_Area" localSheetId="17">'AHU TEST (10)'!$B$1:$K$74</definedName>
    <definedName name="_xlnm.Print_Area" localSheetId="27">'AHU TEST (11)'!$B$1:$K$74</definedName>
    <definedName name="_xlnm.Print_Area" localSheetId="37">'AHU TEST (12)'!$B$1:$K$74</definedName>
    <definedName name="_xlnm.Print_Area" localSheetId="48">'AHU TEST (13)'!$B$1:$K$74</definedName>
    <definedName name="_xlnm.Print_Area" localSheetId="58">'AHU TEST (14)'!$B$1:$K$74</definedName>
    <definedName name="_xlnm.Print_Area" localSheetId="68">'AHU TEST (15)'!$B$1:$K$74</definedName>
    <definedName name="_xlnm.Print_Area" localSheetId="78">'AHU TEST (16)'!$B$1:$K$74</definedName>
    <definedName name="_xlnm.Print_Area" localSheetId="150">'AHU TEST (2)'!$B$1:$K$74</definedName>
    <definedName name="_xlnm.Print_Area" localSheetId="130">'AHU TEST (3)'!$B$1:$K$74</definedName>
    <definedName name="_xlnm.Print_Area" localSheetId="140">'AHU TEST (4)'!$B$1:$K$74</definedName>
    <definedName name="_xlnm.Print_Area" localSheetId="89">'AHU TEST (5)'!$B$1:$K$74</definedName>
    <definedName name="_xlnm.Print_Area" localSheetId="99">'AHU TEST (6)'!$B$1:$K$74</definedName>
    <definedName name="_xlnm.Print_Area" localSheetId="109">'AHU TEST (7)'!$B$1:$K$74</definedName>
    <definedName name="_xlnm.Print_Area" localSheetId="119">'AHU TEST (8)'!$B$1:$K$74</definedName>
    <definedName name="_xlnm.Print_Area" localSheetId="7">'AHU TEST (9)'!$B$1:$K$74</definedName>
    <definedName name="_xlnm.Print_Area" localSheetId="1">'CANOPY - Ground Floor (1)'!$A$1:$O$206</definedName>
    <definedName name="_xlnm.Print_Area" localSheetId="162">CONTRACT!$B$1:$K$74</definedName>
    <definedName name="_xlnm.Print_Area" localSheetId="18">'CONTRACT (10)'!$B$1:$K$74</definedName>
    <definedName name="_xlnm.Print_Area" localSheetId="28">'CONTRACT (11)'!$B$1:$K$74</definedName>
    <definedName name="_xlnm.Print_Area" localSheetId="38">'CONTRACT (12)'!$B$1:$K$74</definedName>
    <definedName name="_xlnm.Print_Area" localSheetId="49">'CONTRACT (13)'!$B$1:$K$74</definedName>
    <definedName name="_xlnm.Print_Area" localSheetId="59">'CONTRACT (14)'!$B$1:$K$74</definedName>
    <definedName name="_xlnm.Print_Area" localSheetId="69">'CONTRACT (15)'!$B$1:$K$74</definedName>
    <definedName name="_xlnm.Print_Area" localSheetId="79">'CONTRACT (16)'!$B$1:$K$74</definedName>
    <definedName name="_xlnm.Print_Area" localSheetId="151">'CONTRACT (2)'!$B$1:$K$74</definedName>
    <definedName name="_xlnm.Print_Area" localSheetId="131">'CONTRACT (3)'!$B$1:$K$74</definedName>
    <definedName name="_xlnm.Print_Area" localSheetId="141">'CONTRACT (4)'!$B$1:$K$74</definedName>
    <definedName name="_xlnm.Print_Area" localSheetId="90">'CONTRACT (5)'!$B$1:$K$74</definedName>
    <definedName name="_xlnm.Print_Area" localSheetId="100">'CONTRACT (6)'!$B$1:$K$74</definedName>
    <definedName name="_xlnm.Print_Area" localSheetId="110">'CONTRACT (7)'!$B$1:$K$74</definedName>
    <definedName name="_xlnm.Print_Area" localSheetId="120">'CONTRACT (8)'!$B$1:$K$74</definedName>
    <definedName name="_xlnm.Print_Area" localSheetId="8">'CONTRACT (9)'!$B$1:$K$74</definedName>
    <definedName name="_xlnm.Print_Area" localSheetId="2">'FIRE SUPP - Ground Floor (1)'!$A$1:$O$206</definedName>
    <definedName name="_xlnm.Print_Area" localSheetId="168">INFECTAWAY!$D$1:$P$47</definedName>
    <definedName name="_xlnm.Print_Area" localSheetId="0">'JOB TOTAL'!$B$1:$O$28</definedName>
    <definedName name="_xlnm.Print_Area" localSheetId="166">'POLLU-LITE'!$C$1:$O$38</definedName>
    <definedName name="_xlnm.Print_Area" localSheetId="22">'POLLU-LITE (10)'!$C$1:$O$38</definedName>
    <definedName name="_xlnm.Print_Area" localSheetId="32">'POLLU-LITE (11)'!$C$1:$O$38</definedName>
    <definedName name="_xlnm.Print_Area" localSheetId="42">'POLLU-LITE (12)'!$C$1:$O$38</definedName>
    <definedName name="_xlnm.Print_Area" localSheetId="53">'POLLU-LITE (13)'!$C$1:$O$38</definedName>
    <definedName name="_xlnm.Print_Area" localSheetId="63">'POLLU-LITE (14)'!$C$1:$O$38</definedName>
    <definedName name="_xlnm.Print_Area" localSheetId="73">'POLLU-LITE (15)'!$C$1:$O$38</definedName>
    <definedName name="_xlnm.Print_Area" localSheetId="83">'POLLU-LITE (16)'!$C$1:$O$38</definedName>
    <definedName name="_xlnm.Print_Area" localSheetId="155">'POLLU-LITE (2)'!$C$1:$O$38</definedName>
    <definedName name="_xlnm.Print_Area" localSheetId="135">'POLLU-LITE (3)'!$C$1:$O$38</definedName>
    <definedName name="_xlnm.Print_Area" localSheetId="145">'POLLU-LITE (4)'!$C$1:$O$38</definedName>
    <definedName name="_xlnm.Print_Area" localSheetId="94">'POLLU-LITE (5)'!$C$1:$O$38</definedName>
    <definedName name="_xlnm.Print_Area" localSheetId="104">'POLLU-LITE (6)'!$C$1:$O$38</definedName>
    <definedName name="_xlnm.Print_Area" localSheetId="114">'POLLU-LITE (7)'!$C$1:$O$38</definedName>
    <definedName name="_xlnm.Print_Area" localSheetId="124">'POLLU-LITE (8)'!$C$1:$O$38</definedName>
    <definedName name="_xlnm.Print_Area" localSheetId="12">'POLLU-LITE (9)'!$C$1:$O$38</definedName>
    <definedName name="_xlnm.Print_Area" localSheetId="165">POLLUSTOP!$B$1:$L$90</definedName>
    <definedName name="_xlnm.Print_Area" localSheetId="21">'POLLUSTOP (10)'!$B$1:$L$90</definedName>
    <definedName name="_xlnm.Print_Area" localSheetId="31">'POLLUSTOP (11)'!$B$1:$L$90</definedName>
    <definedName name="_xlnm.Print_Area" localSheetId="41">'POLLUSTOP (12)'!$B$1:$L$90</definedName>
    <definedName name="_xlnm.Print_Area" localSheetId="52">'POLLUSTOP (13)'!$B$1:$L$90</definedName>
    <definedName name="_xlnm.Print_Area" localSheetId="62">'POLLUSTOP (14)'!$B$1:$L$90</definedName>
    <definedName name="_xlnm.Print_Area" localSheetId="72">'POLLUSTOP (15)'!$B$1:$L$90</definedName>
    <definedName name="_xlnm.Print_Area" localSheetId="82">'POLLUSTOP (16)'!$B$1:$L$90</definedName>
    <definedName name="_xlnm.Print_Area" localSheetId="154">'POLLUSTOP (2)'!$B$1:$L$90</definedName>
    <definedName name="_xlnm.Print_Area" localSheetId="134">'POLLUSTOP (3)'!$B$1:$L$90</definedName>
    <definedName name="_xlnm.Print_Area" localSheetId="144">'POLLUSTOP (4)'!$B$1:$L$90</definedName>
    <definedName name="_xlnm.Print_Area" localSheetId="93">'POLLUSTOP (5)'!$B$1:$L$90</definedName>
    <definedName name="_xlnm.Print_Area" localSheetId="103">'POLLUSTOP (6)'!$B$1:$L$90</definedName>
    <definedName name="_xlnm.Print_Area" localSheetId="113">'POLLUSTOP (7)'!$B$1:$L$90</definedName>
    <definedName name="_xlnm.Print_Area" localSheetId="123">'POLLUSTOP (8)'!$B$1:$L$90</definedName>
    <definedName name="_xlnm.Print_Area" localSheetId="11">'POLLUSTOP (9)'!$B$1:$L$90</definedName>
    <definedName name="_xlnm.Print_Area" localSheetId="167">'REACTAWAY '!$C$1:$O$47</definedName>
    <definedName name="_xlnm.Print_Area" localSheetId="23">'REACTAWAY  (10)'!$C$1:$O$47</definedName>
    <definedName name="_xlnm.Print_Area" localSheetId="33">'REACTAWAY  (11)'!$C$1:$O$47</definedName>
    <definedName name="_xlnm.Print_Area" localSheetId="43">'REACTAWAY  (12)'!$C$1:$O$47</definedName>
    <definedName name="_xlnm.Print_Area" localSheetId="54">'REACTAWAY  (13)'!$C$1:$O$47</definedName>
    <definedName name="_xlnm.Print_Area" localSheetId="64">'REACTAWAY  (14)'!$C$1:$O$47</definedName>
    <definedName name="_xlnm.Print_Area" localSheetId="74">'REACTAWAY  (15)'!$C$1:$O$47</definedName>
    <definedName name="_xlnm.Print_Area" localSheetId="84">'REACTAWAY  (16)'!$C$1:$O$47</definedName>
    <definedName name="_xlnm.Print_Area" localSheetId="156">'REACTAWAY  (2)'!$C$1:$O$47</definedName>
    <definedName name="_xlnm.Print_Area" localSheetId="136">'REACTAWAY  (3)'!$C$1:$O$47</definedName>
    <definedName name="_xlnm.Print_Area" localSheetId="146">'REACTAWAY  (4)'!$C$1:$O$47</definedName>
    <definedName name="_xlnm.Print_Area" localSheetId="95">'REACTAWAY  (5)'!$C$1:$O$47</definedName>
    <definedName name="_xlnm.Print_Area" localSheetId="105">'REACTAWAY  (6)'!$C$1:$O$47</definedName>
    <definedName name="_xlnm.Print_Area" localSheetId="115">'REACTAWAY  (7)'!$C$1:$O$47</definedName>
    <definedName name="_xlnm.Print_Area" localSheetId="125">'REACTAWAY  (8)'!$C$1:$O$47</definedName>
    <definedName name="_xlnm.Print_Area" localSheetId="13">'REACTAWAY  (9)'!$C$1:$O$47</definedName>
    <definedName name="_xlnm.Print_Area" localSheetId="163">'VENT CLG'!$B$1:$K$63</definedName>
    <definedName name="_xlnm.Print_Area" localSheetId="19">'VENT CLG (10)'!$B$1:$K$63</definedName>
    <definedName name="_xlnm.Print_Area" localSheetId="29">'VENT CLG (11)'!$B$1:$K$63</definedName>
    <definedName name="_xlnm.Print_Area" localSheetId="39">'VENT CLG (12)'!$B$1:$K$63</definedName>
    <definedName name="_xlnm.Print_Area" localSheetId="50">'VENT CLG (13)'!$B$1:$K$63</definedName>
    <definedName name="_xlnm.Print_Area" localSheetId="60">'VENT CLG (14)'!$B$1:$K$63</definedName>
    <definedName name="_xlnm.Print_Area" localSheetId="70">'VENT CLG (15)'!$B$1:$K$63</definedName>
    <definedName name="_xlnm.Print_Area" localSheetId="80">'VENT CLG (16)'!$B$1:$K$63</definedName>
    <definedName name="_xlnm.Print_Area" localSheetId="152">'VENT CLG (2)'!$B$1:$K$63</definedName>
    <definedName name="_xlnm.Print_Area" localSheetId="132">'VENT CLG (3)'!$B$1:$K$63</definedName>
    <definedName name="_xlnm.Print_Area" localSheetId="142">'VENT CLG (4)'!$B$1:$K$63</definedName>
    <definedName name="_xlnm.Print_Area" localSheetId="91">'VENT CLG (5)'!$B$1:$K$63</definedName>
    <definedName name="_xlnm.Print_Area" localSheetId="101">'VENT CLG (6)'!$B$1:$K$63</definedName>
    <definedName name="_xlnm.Print_Area" localSheetId="111">'VENT CLG (7)'!$B$1:$K$63</definedName>
    <definedName name="_xlnm.Print_Area" localSheetId="121">'VENT CLG (8)'!$B$1:$K$63</definedName>
    <definedName name="_xlnm.Print_Area" localSheetId="9">'VENT CLG (9)'!$B$1:$K$63</definedName>
    <definedName name="SELECTPLANTHIRE" localSheetId="1">'[1]CANOPY (9)'!$Q$1:$Q$8</definedName>
    <definedName name="SELECTPLANTHIRE" localSheetId="2">'[2]FIRE SUPPRESSION (9)'!$Q$1:$Q$8</definedName>
    <definedName name="SELECTPLANTHIRE" localSheetId="168">INFECTAWAY!$T$1:$T$8</definedName>
    <definedName name="SELECTPLANTHIRE" localSheetId="0">'JOB TOTAL'!$S$1:$S$8</definedName>
    <definedName name="SELECTPLANTHIRE" localSheetId="166">'POLLU-LITE'!$S$1:$S$8</definedName>
    <definedName name="SELECTPLANTHIRE" localSheetId="22">'POLLU-LITE (10)'!$S$1:$S$8</definedName>
    <definedName name="SELECTPLANTHIRE" localSheetId="32">'POLLU-LITE (11)'!$S$1:$S$8</definedName>
    <definedName name="SELECTPLANTHIRE" localSheetId="42">'POLLU-LITE (12)'!$S$1:$S$8</definedName>
    <definedName name="SELECTPLANTHIRE" localSheetId="53">'POLLU-LITE (13)'!$S$1:$S$8</definedName>
    <definedName name="SELECTPLANTHIRE" localSheetId="63">'POLLU-LITE (14)'!$S$1:$S$8</definedName>
    <definedName name="SELECTPLANTHIRE" localSheetId="73">'POLLU-LITE (15)'!$S$1:$S$8</definedName>
    <definedName name="SELECTPLANTHIRE" localSheetId="83">'POLLU-LITE (16)'!$S$1:$S$8</definedName>
    <definedName name="SELECTPLANTHIRE" localSheetId="155">'POLLU-LITE (2)'!$S$1:$S$8</definedName>
    <definedName name="SELECTPLANTHIRE" localSheetId="135">'POLLU-LITE (3)'!$S$1:$S$8</definedName>
    <definedName name="SELECTPLANTHIRE" localSheetId="145">'POLLU-LITE (4)'!$S$1:$S$8</definedName>
    <definedName name="SELECTPLANTHIRE" localSheetId="94">'POLLU-LITE (5)'!$S$1:$S$8</definedName>
    <definedName name="SELECTPLANTHIRE" localSheetId="104">'POLLU-LITE (6)'!$S$1:$S$8</definedName>
    <definedName name="SELECTPLANTHIRE" localSheetId="114">'POLLU-LITE (7)'!$S$1:$S$8</definedName>
    <definedName name="SELECTPLANTHIRE" localSheetId="124">'POLLU-LITE (8)'!$S$1:$S$8</definedName>
    <definedName name="SELECTPLANTHIRE" localSheetId="12">'POLLU-LITE (9)'!$S$1:$S$8</definedName>
    <definedName name="SELECTPLANTHIRE" localSheetId="167">'REACTAWAY '!$S$1:$S$8</definedName>
    <definedName name="SELECTPLANTHIRE" localSheetId="23">'REACTAWAY  (10)'!$S$1:$S$8</definedName>
    <definedName name="SELECTPLANTHIRE" localSheetId="33">'REACTAWAY  (11)'!$S$1:$S$8</definedName>
    <definedName name="SELECTPLANTHIRE" localSheetId="43">'REACTAWAY  (12)'!$S$1:$S$8</definedName>
    <definedName name="SELECTPLANTHIRE" localSheetId="54">'REACTAWAY  (13)'!$S$1:$S$8</definedName>
    <definedName name="SELECTPLANTHIRE" localSheetId="64">'REACTAWAY  (14)'!$S$1:$S$8</definedName>
    <definedName name="SELECTPLANTHIRE" localSheetId="74">'REACTAWAY  (15)'!$S$1:$S$8</definedName>
    <definedName name="SELECTPLANTHIRE" localSheetId="84">'REACTAWAY  (16)'!$S$1:$S$8</definedName>
    <definedName name="SELECTPLANTHIRE" localSheetId="156">'REACTAWAY  (2)'!$S$1:$S$8</definedName>
    <definedName name="SELECTPLANTHIRE" localSheetId="136">'REACTAWAY  (3)'!$S$1:$S$8</definedName>
    <definedName name="SELECTPLANTHIRE" localSheetId="146">'REACTAWAY  (4)'!$S$1:$S$8</definedName>
    <definedName name="SELECTPLANTHIRE" localSheetId="95">'REACTAWAY  (5)'!$S$1:$S$8</definedName>
    <definedName name="SELECTPLANTHIRE" localSheetId="105">'REACTAWAY  (6)'!$S$1:$S$8</definedName>
    <definedName name="SELECTPLANTHIRE" localSheetId="115">'REACTAWAY  (7)'!$S$1:$S$8</definedName>
    <definedName name="SELECTPLANTHIRE" localSheetId="125">'REACTAWAY  (8)'!$S$1:$S$8</definedName>
    <definedName name="SELECTPLANTHIRE" localSheetId="13">'REACTAWAY  (9)'!$S$1:$S$8</definedName>
    <definedName name="SIZE">'Base Costs'!$I$4:$I$10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182" i="2" l="1"/>
  <c r="P183" i="2"/>
  <c r="D14" i="174"/>
  <c r="C14" i="174"/>
  <c r="D13" i="174"/>
  <c r="C13" i="174"/>
  <c r="D12" i="174"/>
  <c r="S20" i="1" s="1"/>
  <c r="C12" i="174"/>
  <c r="T20" i="1" s="1"/>
  <c r="D11" i="174"/>
  <c r="S24" i="1" s="1"/>
  <c r="C11" i="174"/>
  <c r="T24" i="1" s="1"/>
  <c r="D10" i="174"/>
  <c r="C10" i="174"/>
  <c r="D9" i="174"/>
  <c r="C9" i="174"/>
  <c r="D73" i="172"/>
  <c r="D72" i="172"/>
  <c r="D62" i="172"/>
  <c r="D60" i="172"/>
  <c r="D53" i="172"/>
  <c r="C48" i="172"/>
  <c r="E48" i="172" s="1"/>
  <c r="I48" i="172" s="1"/>
  <c r="C47" i="172"/>
  <c r="E47" i="172" s="1"/>
  <c r="I47" i="172" s="1"/>
  <c r="C46" i="172"/>
  <c r="E46" i="172" s="1"/>
  <c r="I46" i="172" s="1"/>
  <c r="E45" i="172"/>
  <c r="I45" i="172" s="1"/>
  <c r="C45" i="172"/>
  <c r="E44" i="172"/>
  <c r="I44" i="172" s="1"/>
  <c r="C44" i="172"/>
  <c r="H43" i="172"/>
  <c r="G43" i="172"/>
  <c r="E43" i="172"/>
  <c r="C43" i="172"/>
  <c r="H42" i="172"/>
  <c r="G42" i="172"/>
  <c r="C42" i="172"/>
  <c r="E42" i="172" s="1"/>
  <c r="F42" i="172" s="1"/>
  <c r="H41" i="172"/>
  <c r="I41" i="172" s="1"/>
  <c r="G41" i="172"/>
  <c r="C41" i="172"/>
  <c r="E41" i="172" s="1"/>
  <c r="F41" i="172" s="1"/>
  <c r="H40" i="172"/>
  <c r="G40" i="172"/>
  <c r="E40" i="172"/>
  <c r="C40" i="172"/>
  <c r="F39" i="172"/>
  <c r="C39" i="172"/>
  <c r="E39" i="172" s="1"/>
  <c r="C38" i="172"/>
  <c r="E38" i="172" s="1"/>
  <c r="C37" i="172"/>
  <c r="E37" i="172" s="1"/>
  <c r="C36" i="172"/>
  <c r="E36" i="172" s="1"/>
  <c r="C35" i="172"/>
  <c r="E35" i="172" s="1"/>
  <c r="F35" i="172" s="1"/>
  <c r="E34" i="172"/>
  <c r="C34" i="172"/>
  <c r="C33" i="172"/>
  <c r="E33" i="172" s="1"/>
  <c r="C32" i="172"/>
  <c r="E32" i="172" s="1"/>
  <c r="F31" i="172"/>
  <c r="C31" i="172"/>
  <c r="E31" i="172" s="1"/>
  <c r="C30" i="172"/>
  <c r="E30" i="172" s="1"/>
  <c r="C29" i="172"/>
  <c r="E29" i="172" s="1"/>
  <c r="C28" i="172"/>
  <c r="E28" i="172" s="1"/>
  <c r="C27" i="172"/>
  <c r="E27" i="172" s="1"/>
  <c r="F27" i="172" s="1"/>
  <c r="E26" i="172"/>
  <c r="C26" i="172"/>
  <c r="C25" i="172"/>
  <c r="E25" i="172" s="1"/>
  <c r="C24" i="172"/>
  <c r="E24" i="172" s="1"/>
  <c r="F23" i="172"/>
  <c r="C23" i="172"/>
  <c r="E23" i="172" s="1"/>
  <c r="C22" i="172"/>
  <c r="E22" i="172" s="1"/>
  <c r="C21" i="172"/>
  <c r="E21" i="172" s="1"/>
  <c r="C20" i="172"/>
  <c r="E20" i="172" s="1"/>
  <c r="C19" i="172"/>
  <c r="E19" i="172" s="1"/>
  <c r="F19" i="172" s="1"/>
  <c r="E18" i="172"/>
  <c r="C18" i="172"/>
  <c r="C17" i="172"/>
  <c r="E17" i="172" s="1"/>
  <c r="C16" i="172"/>
  <c r="E16" i="172" s="1"/>
  <c r="F15" i="172"/>
  <c r="C15" i="172"/>
  <c r="E15" i="172" s="1"/>
  <c r="C14" i="172"/>
  <c r="E14" i="172" s="1"/>
  <c r="C13" i="172"/>
  <c r="E13" i="172" s="1"/>
  <c r="C12" i="172"/>
  <c r="E12" i="172" s="1"/>
  <c r="C11" i="172"/>
  <c r="E11" i="172" s="1"/>
  <c r="F11" i="172" s="1"/>
  <c r="H10" i="172"/>
  <c r="G10" i="172"/>
  <c r="F10" i="172"/>
  <c r="I10" i="172" s="1"/>
  <c r="P631" i="171" s="1"/>
  <c r="C10" i="172"/>
  <c r="E10" i="172" s="1"/>
  <c r="H9" i="172"/>
  <c r="G9" i="172"/>
  <c r="C9" i="172"/>
  <c r="E9" i="172" s="1"/>
  <c r="F8" i="172"/>
  <c r="C8" i="172"/>
  <c r="E8" i="172" s="1"/>
  <c r="C7" i="172"/>
  <c r="E7" i="172" s="1"/>
  <c r="C6" i="172"/>
  <c r="E6" i="172" s="1"/>
  <c r="C5" i="172"/>
  <c r="E5" i="172" s="1"/>
  <c r="C4" i="172"/>
  <c r="E4" i="172" s="1"/>
  <c r="F4" i="172" s="1"/>
  <c r="G670" i="171"/>
  <c r="E670" i="171"/>
  <c r="D670" i="171"/>
  <c r="G669" i="171"/>
  <c r="E669" i="171" s="1"/>
  <c r="D669" i="171"/>
  <c r="G668" i="171"/>
  <c r="E668" i="171"/>
  <c r="D668" i="171"/>
  <c r="G667" i="171"/>
  <c r="E667" i="171"/>
  <c r="D667" i="171"/>
  <c r="Q666" i="171"/>
  <c r="O666" i="171"/>
  <c r="G666" i="171"/>
  <c r="D666" i="171"/>
  <c r="Q665" i="171"/>
  <c r="O665" i="171"/>
  <c r="G665" i="171"/>
  <c r="D665" i="171"/>
  <c r="U664" i="171"/>
  <c r="Q664" i="171"/>
  <c r="O664" i="171"/>
  <c r="G664" i="171"/>
  <c r="D664" i="171"/>
  <c r="U663" i="171"/>
  <c r="Q663" i="171"/>
  <c r="O663" i="171"/>
  <c r="G663" i="171"/>
  <c r="D663" i="171"/>
  <c r="Q662" i="171"/>
  <c r="O662" i="171"/>
  <c r="G662" i="171"/>
  <c r="D662" i="171"/>
  <c r="Q661" i="171"/>
  <c r="O661" i="171"/>
  <c r="G661" i="171"/>
  <c r="D661" i="171"/>
  <c r="U660" i="171"/>
  <c r="Q660" i="171"/>
  <c r="O660" i="171"/>
  <c r="G660" i="171"/>
  <c r="D660" i="171"/>
  <c r="U659" i="171"/>
  <c r="Q659" i="171"/>
  <c r="O659" i="171"/>
  <c r="G659" i="171"/>
  <c r="D659" i="171"/>
  <c r="Q658" i="171"/>
  <c r="O658" i="171"/>
  <c r="G658" i="171"/>
  <c r="D658" i="171"/>
  <c r="Q657" i="171"/>
  <c r="O657" i="171"/>
  <c r="G657" i="171"/>
  <c r="D657" i="171"/>
  <c r="U656" i="171"/>
  <c r="Q656" i="171"/>
  <c r="O656" i="171"/>
  <c r="G656" i="171"/>
  <c r="D656" i="171"/>
  <c r="U655" i="171"/>
  <c r="Q655" i="171"/>
  <c r="O655" i="171"/>
  <c r="G655" i="171"/>
  <c r="D655" i="171"/>
  <c r="Q654" i="171"/>
  <c r="O654" i="171"/>
  <c r="G654" i="171"/>
  <c r="D654" i="171"/>
  <c r="Q653" i="171"/>
  <c r="O653" i="171"/>
  <c r="G653" i="171"/>
  <c r="D653" i="171"/>
  <c r="U652" i="171"/>
  <c r="Q652" i="171"/>
  <c r="O652" i="171"/>
  <c r="G652" i="171"/>
  <c r="D652" i="171"/>
  <c r="U651" i="171"/>
  <c r="Q651" i="171"/>
  <c r="O651" i="171"/>
  <c r="G651" i="171"/>
  <c r="D651" i="171"/>
  <c r="Q650" i="171"/>
  <c r="P650" i="171"/>
  <c r="O650" i="171"/>
  <c r="G650" i="171"/>
  <c r="D650" i="171"/>
  <c r="Q649" i="171"/>
  <c r="O649" i="171"/>
  <c r="G649" i="171"/>
  <c r="D649" i="171"/>
  <c r="U648" i="171"/>
  <c r="Q648" i="171"/>
  <c r="O648" i="171"/>
  <c r="G648" i="171"/>
  <c r="D648" i="171"/>
  <c r="U647" i="171"/>
  <c r="Q647" i="171"/>
  <c r="O647" i="171"/>
  <c r="G647" i="171"/>
  <c r="D647" i="171"/>
  <c r="Q646" i="171"/>
  <c r="O646" i="171"/>
  <c r="G646" i="171"/>
  <c r="D646" i="171"/>
  <c r="Q645" i="171"/>
  <c r="O645" i="171"/>
  <c r="G645" i="171"/>
  <c r="D645" i="171"/>
  <c r="U644" i="171"/>
  <c r="Q644" i="171"/>
  <c r="O644" i="171"/>
  <c r="G644" i="171"/>
  <c r="D644" i="171"/>
  <c r="U643" i="171"/>
  <c r="Q643" i="171"/>
  <c r="O643" i="171"/>
  <c r="G643" i="171"/>
  <c r="D643" i="171"/>
  <c r="Q642" i="171"/>
  <c r="O642" i="171"/>
  <c r="G642" i="171"/>
  <c r="D642" i="171"/>
  <c r="Q641" i="171"/>
  <c r="O641" i="171"/>
  <c r="G641" i="171"/>
  <c r="D641" i="171"/>
  <c r="U640" i="171"/>
  <c r="Q640" i="171"/>
  <c r="O640" i="171"/>
  <c r="G640" i="171"/>
  <c r="D640" i="171"/>
  <c r="U639" i="171"/>
  <c r="Q639" i="171"/>
  <c r="O639" i="171"/>
  <c r="G639" i="171"/>
  <c r="D639" i="171"/>
  <c r="U638" i="171"/>
  <c r="Q638" i="171"/>
  <c r="O638" i="171"/>
  <c r="G638" i="171"/>
  <c r="D638" i="171"/>
  <c r="Q637" i="171"/>
  <c r="O637" i="171"/>
  <c r="G637" i="171"/>
  <c r="D637" i="171"/>
  <c r="U636" i="171"/>
  <c r="Q636" i="171"/>
  <c r="O636" i="171"/>
  <c r="G636" i="171"/>
  <c r="D636" i="171"/>
  <c r="U635" i="171"/>
  <c r="Q635" i="171"/>
  <c r="O635" i="171"/>
  <c r="G635" i="171"/>
  <c r="D635" i="171"/>
  <c r="U634" i="171"/>
  <c r="Q634" i="171"/>
  <c r="O634" i="171"/>
  <c r="G634" i="171"/>
  <c r="D634" i="171"/>
  <c r="Q633" i="171"/>
  <c r="O633" i="171"/>
  <c r="G633" i="171"/>
  <c r="D633" i="171"/>
  <c r="U632" i="171"/>
  <c r="Q632" i="171"/>
  <c r="O632" i="171"/>
  <c r="G632" i="171"/>
  <c r="D632" i="171"/>
  <c r="U631" i="171"/>
  <c r="Q631" i="171"/>
  <c r="O631" i="171"/>
  <c r="G631" i="171"/>
  <c r="D631" i="171"/>
  <c r="U630" i="171"/>
  <c r="Q630" i="171"/>
  <c r="O630" i="171"/>
  <c r="G630" i="171"/>
  <c r="D630" i="171"/>
  <c r="U629" i="171"/>
  <c r="Q629" i="171"/>
  <c r="O629" i="171"/>
  <c r="G629" i="171"/>
  <c r="D629" i="171"/>
  <c r="U628" i="171"/>
  <c r="Q628" i="171"/>
  <c r="O628" i="171"/>
  <c r="G628" i="171"/>
  <c r="D628" i="171"/>
  <c r="U627" i="171"/>
  <c r="Q627" i="171"/>
  <c r="O627" i="171"/>
  <c r="G627" i="171"/>
  <c r="D627" i="171"/>
  <c r="U626" i="171"/>
  <c r="Q626" i="171"/>
  <c r="O626" i="171"/>
  <c r="G626" i="171"/>
  <c r="D626" i="171"/>
  <c r="U625" i="171"/>
  <c r="Q625" i="171"/>
  <c r="P625" i="171"/>
  <c r="O625" i="171"/>
  <c r="G625" i="171"/>
  <c r="D625" i="171"/>
  <c r="U624" i="171"/>
  <c r="Q624" i="171"/>
  <c r="O624" i="171"/>
  <c r="G624" i="171"/>
  <c r="D624" i="171"/>
  <c r="U623" i="171"/>
  <c r="Q623" i="171"/>
  <c r="O623" i="171"/>
  <c r="G623" i="171"/>
  <c r="D623" i="171"/>
  <c r="U622" i="171"/>
  <c r="Q622" i="171"/>
  <c r="O622" i="171"/>
  <c r="G622" i="171"/>
  <c r="D622" i="171"/>
  <c r="U621" i="171"/>
  <c r="Q621" i="171"/>
  <c r="O621" i="171"/>
  <c r="G621" i="171"/>
  <c r="D621" i="171"/>
  <c r="U620" i="171"/>
  <c r="Q620" i="171"/>
  <c r="O620" i="171"/>
  <c r="G620" i="171"/>
  <c r="D620" i="171"/>
  <c r="U619" i="171"/>
  <c r="Q619" i="171"/>
  <c r="O619" i="171"/>
  <c r="G619" i="171"/>
  <c r="D619" i="171"/>
  <c r="U618" i="171"/>
  <c r="Q618" i="171"/>
  <c r="O618" i="171"/>
  <c r="G618" i="171"/>
  <c r="D618" i="171"/>
  <c r="U617" i="171"/>
  <c r="Q617" i="171"/>
  <c r="O617" i="171"/>
  <c r="G617" i="171"/>
  <c r="D617" i="171"/>
  <c r="U616" i="171"/>
  <c r="Q616" i="171"/>
  <c r="O616" i="171"/>
  <c r="G616" i="171"/>
  <c r="D616" i="171"/>
  <c r="U615" i="171"/>
  <c r="Q615" i="171"/>
  <c r="O615" i="171"/>
  <c r="G615" i="171"/>
  <c r="D615" i="171"/>
  <c r="U614" i="171"/>
  <c r="Q614" i="171"/>
  <c r="O614" i="171"/>
  <c r="G614" i="171"/>
  <c r="D614" i="171"/>
  <c r="U613" i="171"/>
  <c r="Q613" i="171"/>
  <c r="O613" i="171"/>
  <c r="G613" i="171"/>
  <c r="D613" i="171"/>
  <c r="U612" i="171"/>
  <c r="Q612" i="171"/>
  <c r="O612" i="171"/>
  <c r="G612" i="171"/>
  <c r="D612" i="171"/>
  <c r="U611" i="171"/>
  <c r="Q611" i="171"/>
  <c r="O611" i="171"/>
  <c r="G611" i="171"/>
  <c r="D611" i="171"/>
  <c r="U610" i="171"/>
  <c r="Q610" i="171"/>
  <c r="O610" i="171"/>
  <c r="G610" i="171"/>
  <c r="D610" i="171"/>
  <c r="U609" i="171"/>
  <c r="Q609" i="171"/>
  <c r="O609" i="171"/>
  <c r="G609" i="171"/>
  <c r="D609" i="171"/>
  <c r="U608" i="171"/>
  <c r="Q608" i="171"/>
  <c r="O608" i="171"/>
  <c r="G608" i="171"/>
  <c r="D608" i="171"/>
  <c r="U607" i="171"/>
  <c r="Q607" i="171"/>
  <c r="O607" i="171"/>
  <c r="G607" i="171"/>
  <c r="D607" i="171"/>
  <c r="U606" i="171"/>
  <c r="Q606" i="171"/>
  <c r="O606" i="171"/>
  <c r="G606" i="171"/>
  <c r="D606" i="171"/>
  <c r="U605" i="171"/>
  <c r="Q605" i="171"/>
  <c r="O605" i="171"/>
  <c r="G605" i="171"/>
  <c r="D605" i="171"/>
  <c r="U604" i="171"/>
  <c r="Q604" i="171"/>
  <c r="O604" i="171"/>
  <c r="G604" i="171"/>
  <c r="D604" i="171"/>
  <c r="U603" i="171"/>
  <c r="Q603" i="171"/>
  <c r="O603" i="171"/>
  <c r="G603" i="171"/>
  <c r="D603" i="171"/>
  <c r="U602" i="171"/>
  <c r="Q602" i="171"/>
  <c r="O602" i="171"/>
  <c r="G602" i="171"/>
  <c r="D602" i="171"/>
  <c r="W601" i="171"/>
  <c r="U601" i="171"/>
  <c r="Q601" i="171"/>
  <c r="O601" i="171"/>
  <c r="G601" i="171"/>
  <c r="D601" i="171"/>
  <c r="U600" i="171"/>
  <c r="Q600" i="171"/>
  <c r="O600" i="171"/>
  <c r="G600" i="171"/>
  <c r="D600" i="171"/>
  <c r="U599" i="171"/>
  <c r="Q599" i="171"/>
  <c r="O599" i="171"/>
  <c r="G599" i="171"/>
  <c r="D599" i="171"/>
  <c r="U598" i="171"/>
  <c r="Q598" i="171"/>
  <c r="O598" i="171"/>
  <c r="G598" i="171"/>
  <c r="D598" i="171"/>
  <c r="U597" i="171"/>
  <c r="Q597" i="171"/>
  <c r="O597" i="171"/>
  <c r="G597" i="171"/>
  <c r="D597" i="171"/>
  <c r="U596" i="171"/>
  <c r="Q596" i="171"/>
  <c r="O596" i="171"/>
  <c r="G596" i="171"/>
  <c r="D596" i="171"/>
  <c r="U595" i="171"/>
  <c r="Q595" i="171"/>
  <c r="O595" i="171"/>
  <c r="G595" i="171"/>
  <c r="D595" i="171"/>
  <c r="U594" i="171"/>
  <c r="Q594" i="171"/>
  <c r="O594" i="171"/>
  <c r="G594" i="171"/>
  <c r="D594" i="171"/>
  <c r="U593" i="171"/>
  <c r="Q593" i="171"/>
  <c r="O593" i="171"/>
  <c r="G593" i="171"/>
  <c r="D593" i="171"/>
  <c r="U592" i="171"/>
  <c r="Q592" i="171"/>
  <c r="O592" i="171"/>
  <c r="G592" i="171"/>
  <c r="D592" i="171"/>
  <c r="U591" i="171"/>
  <c r="Q591" i="171"/>
  <c r="O591" i="171"/>
  <c r="G591" i="171"/>
  <c r="D591" i="171"/>
  <c r="U590" i="171"/>
  <c r="Q590" i="171"/>
  <c r="O590" i="171"/>
  <c r="G590" i="171"/>
  <c r="D590" i="171"/>
  <c r="U589" i="171"/>
  <c r="Q589" i="171"/>
  <c r="O589" i="171"/>
  <c r="G589" i="171"/>
  <c r="D589" i="171"/>
  <c r="U588" i="171"/>
  <c r="Q588" i="171"/>
  <c r="O588" i="171"/>
  <c r="G588" i="171"/>
  <c r="D588" i="171"/>
  <c r="U587" i="171"/>
  <c r="Q587" i="171"/>
  <c r="O587" i="171"/>
  <c r="G587" i="171"/>
  <c r="D587" i="171"/>
  <c r="U586" i="171"/>
  <c r="Q586" i="171"/>
  <c r="O586" i="171"/>
  <c r="G586" i="171"/>
  <c r="D586" i="171"/>
  <c r="U585" i="171"/>
  <c r="Q585" i="171"/>
  <c r="O585" i="171"/>
  <c r="G585" i="171"/>
  <c r="D585" i="171"/>
  <c r="U584" i="171"/>
  <c r="Q584" i="171"/>
  <c r="O584" i="171"/>
  <c r="G584" i="171"/>
  <c r="D584" i="171"/>
  <c r="U583" i="171"/>
  <c r="Q583" i="171"/>
  <c r="O583" i="171"/>
  <c r="G583" i="171"/>
  <c r="D583" i="171"/>
  <c r="U582" i="171"/>
  <c r="Q582" i="171"/>
  <c r="O582" i="171"/>
  <c r="G582" i="171"/>
  <c r="D582" i="171"/>
  <c r="U581" i="171"/>
  <c r="Q581" i="171"/>
  <c r="O581" i="171"/>
  <c r="G581" i="171"/>
  <c r="D581" i="171"/>
  <c r="U580" i="171"/>
  <c r="Q580" i="171"/>
  <c r="O580" i="171"/>
  <c r="G580" i="171"/>
  <c r="D580" i="171"/>
  <c r="U579" i="171"/>
  <c r="Q579" i="171"/>
  <c r="O579" i="171"/>
  <c r="G579" i="171"/>
  <c r="D579" i="171"/>
  <c r="U578" i="171"/>
  <c r="Q578" i="171"/>
  <c r="O578" i="171"/>
  <c r="G578" i="171"/>
  <c r="D578" i="171"/>
  <c r="U577" i="171"/>
  <c r="Q577" i="171"/>
  <c r="O577" i="171"/>
  <c r="G577" i="171"/>
  <c r="D577" i="171"/>
  <c r="Q576" i="171"/>
  <c r="G576" i="171"/>
  <c r="D576" i="171"/>
  <c r="Q575" i="171"/>
  <c r="G575" i="171"/>
  <c r="D575" i="171"/>
  <c r="Q574" i="171"/>
  <c r="G574" i="171"/>
  <c r="D574" i="171"/>
  <c r="Q573" i="171"/>
  <c r="G573" i="171"/>
  <c r="D573" i="171"/>
  <c r="AC572" i="171"/>
  <c r="AB572" i="171"/>
  <c r="AA572" i="171"/>
  <c r="Z572" i="171"/>
  <c r="Y572" i="171"/>
  <c r="X572" i="171"/>
  <c r="G572" i="171"/>
  <c r="D572" i="171"/>
  <c r="A85" i="172" s="1"/>
  <c r="AC571" i="171"/>
  <c r="AB571" i="171"/>
  <c r="AA571" i="171"/>
  <c r="Z571" i="171"/>
  <c r="Y571" i="171"/>
  <c r="X571" i="171"/>
  <c r="G571" i="171"/>
  <c r="D571" i="171"/>
  <c r="A84" i="172" s="1"/>
  <c r="AC570" i="171"/>
  <c r="AB570" i="171"/>
  <c r="AA570" i="171"/>
  <c r="Z570" i="171"/>
  <c r="Y570" i="171"/>
  <c r="X570" i="171"/>
  <c r="G570" i="171"/>
  <c r="D570" i="171"/>
  <c r="A83" i="172" s="1"/>
  <c r="AC569" i="171"/>
  <c r="AB569" i="171"/>
  <c r="AA569" i="171"/>
  <c r="Z569" i="171"/>
  <c r="Y569" i="171"/>
  <c r="X569" i="171"/>
  <c r="G569" i="171"/>
  <c r="D569" i="171"/>
  <c r="A82" i="172" s="1"/>
  <c r="G568" i="171"/>
  <c r="D568" i="171"/>
  <c r="G567" i="171"/>
  <c r="D567" i="171"/>
  <c r="G566" i="171"/>
  <c r="D566" i="171"/>
  <c r="G565" i="171"/>
  <c r="D565" i="171"/>
  <c r="G564" i="171"/>
  <c r="D564" i="171"/>
  <c r="G563" i="171"/>
  <c r="D563" i="171"/>
  <c r="G562" i="171"/>
  <c r="D562" i="171"/>
  <c r="G561" i="171"/>
  <c r="D561" i="171"/>
  <c r="G560" i="171"/>
  <c r="D560" i="171"/>
  <c r="G559" i="171"/>
  <c r="D559" i="171"/>
  <c r="G558" i="171"/>
  <c r="D558" i="171"/>
  <c r="G557" i="171"/>
  <c r="D557" i="171"/>
  <c r="G556" i="171"/>
  <c r="D556" i="171"/>
  <c r="G555" i="171"/>
  <c r="D555" i="171"/>
  <c r="G554" i="171"/>
  <c r="D554" i="171"/>
  <c r="G553" i="171"/>
  <c r="D553" i="171"/>
  <c r="G552" i="171"/>
  <c r="D552" i="171"/>
  <c r="G551" i="171"/>
  <c r="D551" i="171"/>
  <c r="G550" i="171"/>
  <c r="D550" i="171"/>
  <c r="G549" i="171"/>
  <c r="D549" i="171"/>
  <c r="G548" i="171"/>
  <c r="D548" i="171"/>
  <c r="G547" i="171"/>
  <c r="D547" i="171"/>
  <c r="G546" i="171"/>
  <c r="D546" i="171"/>
  <c r="G545" i="171"/>
  <c r="D545" i="171"/>
  <c r="G544" i="171"/>
  <c r="D544" i="171"/>
  <c r="G543" i="171"/>
  <c r="D543" i="171"/>
  <c r="G542" i="171"/>
  <c r="D542" i="171"/>
  <c r="G541" i="171"/>
  <c r="D541" i="171"/>
  <c r="G540" i="171"/>
  <c r="D540" i="171"/>
  <c r="G539" i="171"/>
  <c r="D539" i="171"/>
  <c r="G538" i="171"/>
  <c r="D538" i="171"/>
  <c r="G537" i="171"/>
  <c r="D537" i="171"/>
  <c r="G536" i="171"/>
  <c r="D536" i="171"/>
  <c r="G535" i="171"/>
  <c r="D535" i="171"/>
  <c r="G534" i="171"/>
  <c r="D534" i="171"/>
  <c r="G533" i="171"/>
  <c r="D533" i="171"/>
  <c r="G532" i="171"/>
  <c r="D532" i="171"/>
  <c r="G531" i="171"/>
  <c r="D531" i="171"/>
  <c r="G530" i="171"/>
  <c r="D530" i="171"/>
  <c r="G529" i="171"/>
  <c r="D529" i="171"/>
  <c r="G528" i="171"/>
  <c r="D528" i="171"/>
  <c r="G527" i="171"/>
  <c r="D527" i="171"/>
  <c r="G526" i="171"/>
  <c r="D526" i="171"/>
  <c r="G525" i="171"/>
  <c r="D525" i="171"/>
  <c r="G524" i="171"/>
  <c r="D524" i="171"/>
  <c r="U523" i="171"/>
  <c r="O523" i="171"/>
  <c r="G523" i="171"/>
  <c r="D523" i="171"/>
  <c r="U522" i="171"/>
  <c r="O522" i="171"/>
  <c r="G522" i="171"/>
  <c r="D522" i="171"/>
  <c r="U521" i="171"/>
  <c r="O521" i="171"/>
  <c r="G521" i="171"/>
  <c r="D521" i="171"/>
  <c r="U520" i="171"/>
  <c r="O520" i="171"/>
  <c r="G520" i="171"/>
  <c r="D520" i="171"/>
  <c r="U519" i="171"/>
  <c r="O519" i="171"/>
  <c r="G519" i="171"/>
  <c r="D519" i="171"/>
  <c r="U518" i="171"/>
  <c r="O518" i="171"/>
  <c r="G518" i="171"/>
  <c r="D518" i="171"/>
  <c r="U517" i="171"/>
  <c r="O517" i="171"/>
  <c r="G517" i="171"/>
  <c r="D517" i="171"/>
  <c r="U516" i="171"/>
  <c r="O516" i="171"/>
  <c r="G516" i="171"/>
  <c r="D516" i="171"/>
  <c r="U515" i="171"/>
  <c r="O515" i="171"/>
  <c r="G515" i="171"/>
  <c r="D515" i="171"/>
  <c r="U514" i="171"/>
  <c r="O514" i="171"/>
  <c r="G514" i="171"/>
  <c r="D514" i="171"/>
  <c r="U513" i="171"/>
  <c r="O513" i="171"/>
  <c r="G513" i="171"/>
  <c r="D513" i="171"/>
  <c r="U512" i="171"/>
  <c r="O512" i="171"/>
  <c r="G512" i="171"/>
  <c r="D512" i="171"/>
  <c r="U511" i="171"/>
  <c r="O511" i="171"/>
  <c r="G511" i="171"/>
  <c r="D511" i="171"/>
  <c r="U510" i="171"/>
  <c r="O510" i="171"/>
  <c r="G510" i="171"/>
  <c r="D510" i="171"/>
  <c r="U509" i="171"/>
  <c r="O509" i="171"/>
  <c r="G509" i="171"/>
  <c r="D509" i="171"/>
  <c r="U508" i="171"/>
  <c r="O508" i="171"/>
  <c r="G508" i="171"/>
  <c r="D508" i="171"/>
  <c r="U507" i="171"/>
  <c r="O507" i="171"/>
  <c r="G507" i="171"/>
  <c r="D507" i="171"/>
  <c r="U506" i="171"/>
  <c r="O506" i="171"/>
  <c r="G506" i="171"/>
  <c r="D506" i="171"/>
  <c r="U505" i="171"/>
  <c r="O505" i="171"/>
  <c r="G505" i="171"/>
  <c r="D505" i="171"/>
  <c r="U504" i="171"/>
  <c r="O504" i="171"/>
  <c r="G504" i="171"/>
  <c r="D504" i="171"/>
  <c r="U503" i="171"/>
  <c r="O503" i="171"/>
  <c r="G503" i="171"/>
  <c r="D503" i="171"/>
  <c r="U502" i="171"/>
  <c r="O502" i="171"/>
  <c r="G502" i="171"/>
  <c r="D502" i="171"/>
  <c r="U501" i="171"/>
  <c r="O501" i="171"/>
  <c r="G501" i="171"/>
  <c r="D501" i="171"/>
  <c r="U500" i="171"/>
  <c r="O500" i="171"/>
  <c r="G500" i="171"/>
  <c r="D500" i="171"/>
  <c r="U499" i="171"/>
  <c r="O499" i="171"/>
  <c r="G499" i="171"/>
  <c r="D499" i="171"/>
  <c r="U498" i="171"/>
  <c r="O498" i="171"/>
  <c r="G498" i="171"/>
  <c r="D498" i="171"/>
  <c r="U497" i="171"/>
  <c r="O497" i="171"/>
  <c r="G497" i="171"/>
  <c r="D497" i="171"/>
  <c r="U496" i="171"/>
  <c r="O496" i="171"/>
  <c r="G496" i="171"/>
  <c r="D496" i="171"/>
  <c r="U495" i="171"/>
  <c r="O495" i="171"/>
  <c r="G495" i="171"/>
  <c r="D495" i="171"/>
  <c r="U494" i="171"/>
  <c r="O494" i="171"/>
  <c r="G494" i="171"/>
  <c r="D494" i="171"/>
  <c r="U493" i="171"/>
  <c r="O493" i="171"/>
  <c r="G493" i="171"/>
  <c r="D493" i="171"/>
  <c r="U492" i="171"/>
  <c r="O492" i="171"/>
  <c r="G492" i="171"/>
  <c r="D492" i="171"/>
  <c r="U491" i="171"/>
  <c r="O491" i="171"/>
  <c r="G491" i="171"/>
  <c r="D491" i="171"/>
  <c r="U490" i="171"/>
  <c r="O490" i="171"/>
  <c r="G490" i="171"/>
  <c r="D490" i="171"/>
  <c r="U489" i="171"/>
  <c r="O489" i="171"/>
  <c r="G489" i="171"/>
  <c r="D489" i="171"/>
  <c r="U488" i="171"/>
  <c r="O488" i="171"/>
  <c r="G488" i="171"/>
  <c r="D488" i="171"/>
  <c r="U487" i="171"/>
  <c r="O487" i="171"/>
  <c r="G487" i="171"/>
  <c r="D487" i="171"/>
  <c r="U486" i="171"/>
  <c r="O486" i="171"/>
  <c r="G486" i="171"/>
  <c r="D486" i="171"/>
  <c r="U485" i="171"/>
  <c r="O485" i="171"/>
  <c r="G485" i="171"/>
  <c r="D485" i="171"/>
  <c r="U484" i="171"/>
  <c r="O484" i="171"/>
  <c r="G484" i="171"/>
  <c r="D484" i="171"/>
  <c r="U483" i="171"/>
  <c r="O483" i="171"/>
  <c r="G483" i="171"/>
  <c r="D483" i="171"/>
  <c r="U482" i="171"/>
  <c r="O482" i="171"/>
  <c r="G482" i="171"/>
  <c r="D482" i="171"/>
  <c r="U481" i="171"/>
  <c r="O481" i="171"/>
  <c r="G481" i="171"/>
  <c r="D481" i="171"/>
  <c r="U480" i="171"/>
  <c r="O480" i="171"/>
  <c r="G480" i="171"/>
  <c r="D480" i="171"/>
  <c r="U479" i="171"/>
  <c r="O479" i="171"/>
  <c r="G479" i="171"/>
  <c r="D479" i="171"/>
  <c r="G478" i="171"/>
  <c r="D478" i="171"/>
  <c r="G477" i="171"/>
  <c r="D477" i="171"/>
  <c r="G476" i="171"/>
  <c r="D476" i="171"/>
  <c r="G475" i="171"/>
  <c r="D475" i="171"/>
  <c r="G474" i="171"/>
  <c r="D474" i="171"/>
  <c r="G473" i="171"/>
  <c r="D473" i="171"/>
  <c r="G472" i="171"/>
  <c r="D472" i="171"/>
  <c r="G471" i="171"/>
  <c r="D471" i="171"/>
  <c r="G470" i="171"/>
  <c r="D470" i="171"/>
  <c r="G469" i="171"/>
  <c r="D469" i="171"/>
  <c r="G468" i="171"/>
  <c r="D468" i="171"/>
  <c r="G467" i="171"/>
  <c r="D467" i="171"/>
  <c r="G466" i="171"/>
  <c r="D466" i="171"/>
  <c r="G465" i="171"/>
  <c r="D465" i="171"/>
  <c r="G464" i="171"/>
  <c r="D464" i="171"/>
  <c r="G463" i="171"/>
  <c r="D463" i="171"/>
  <c r="G462" i="171"/>
  <c r="D462" i="171"/>
  <c r="G461" i="171"/>
  <c r="D461" i="171"/>
  <c r="G460" i="171"/>
  <c r="D460" i="171"/>
  <c r="G459" i="171"/>
  <c r="D459" i="171"/>
  <c r="G458" i="171"/>
  <c r="D458" i="171"/>
  <c r="G457" i="171"/>
  <c r="D457" i="171"/>
  <c r="G456" i="171"/>
  <c r="D456" i="171"/>
  <c r="G455" i="171"/>
  <c r="D455" i="171"/>
  <c r="G454" i="171"/>
  <c r="D454" i="171"/>
  <c r="G453" i="171"/>
  <c r="D453" i="171"/>
  <c r="G452" i="171"/>
  <c r="D452" i="171"/>
  <c r="G451" i="171"/>
  <c r="D451" i="171"/>
  <c r="G450" i="171"/>
  <c r="D450" i="171"/>
  <c r="G449" i="171"/>
  <c r="D449" i="171"/>
  <c r="G448" i="171"/>
  <c r="D448" i="171"/>
  <c r="G447" i="171"/>
  <c r="D447" i="171"/>
  <c r="G446" i="171"/>
  <c r="D446" i="171"/>
  <c r="G445" i="171"/>
  <c r="D445" i="171"/>
  <c r="G444" i="171"/>
  <c r="D444" i="171"/>
  <c r="G443" i="171"/>
  <c r="D443" i="171"/>
  <c r="G442" i="171"/>
  <c r="D442" i="171"/>
  <c r="G441" i="171"/>
  <c r="D441" i="171"/>
  <c r="G440" i="171"/>
  <c r="D440" i="171"/>
  <c r="G439" i="171"/>
  <c r="D439" i="171"/>
  <c r="G438" i="171"/>
  <c r="D438" i="171"/>
  <c r="G437" i="171"/>
  <c r="D437" i="171"/>
  <c r="G436" i="171"/>
  <c r="D436" i="171"/>
  <c r="G435" i="171"/>
  <c r="D435" i="171"/>
  <c r="G434" i="171"/>
  <c r="D434" i="171"/>
  <c r="G433" i="171"/>
  <c r="E433" i="171"/>
  <c r="D433" i="171"/>
  <c r="G432" i="171"/>
  <c r="E432" i="171" s="1"/>
  <c r="D432" i="171"/>
  <c r="G431" i="171"/>
  <c r="E431" i="171" s="1"/>
  <c r="D431" i="171"/>
  <c r="G430" i="171"/>
  <c r="E430" i="171"/>
  <c r="D430" i="171"/>
  <c r="G429" i="171"/>
  <c r="E429" i="171" s="1"/>
  <c r="D429" i="171"/>
  <c r="G428" i="171"/>
  <c r="E428" i="171"/>
  <c r="D428" i="171"/>
  <c r="G427" i="171"/>
  <c r="E427" i="171"/>
  <c r="D427" i="171"/>
  <c r="G426" i="171"/>
  <c r="E426" i="171"/>
  <c r="D426" i="171"/>
  <c r="G425" i="171"/>
  <c r="E425" i="171" s="1"/>
  <c r="D425" i="171"/>
  <c r="G424" i="171"/>
  <c r="E424" i="171"/>
  <c r="D424" i="171"/>
  <c r="G423" i="171"/>
  <c r="E423" i="171" s="1"/>
  <c r="D423" i="171"/>
  <c r="G422" i="171"/>
  <c r="E422" i="171" s="1"/>
  <c r="D422" i="171"/>
  <c r="G421" i="171"/>
  <c r="E421" i="171" s="1"/>
  <c r="D421" i="171"/>
  <c r="G420" i="171"/>
  <c r="E420" i="171"/>
  <c r="D420" i="171"/>
  <c r="G419" i="171"/>
  <c r="E419" i="171" s="1"/>
  <c r="D419" i="171"/>
  <c r="G418" i="171"/>
  <c r="E418" i="171"/>
  <c r="D418" i="171"/>
  <c r="G417" i="171"/>
  <c r="E417" i="171"/>
  <c r="D417" i="171"/>
  <c r="G416" i="171"/>
  <c r="E416" i="171"/>
  <c r="D416" i="171"/>
  <c r="U415" i="171"/>
  <c r="O415" i="171"/>
  <c r="G415" i="171"/>
  <c r="D415" i="171"/>
  <c r="U414" i="171"/>
  <c r="O414" i="171"/>
  <c r="G414" i="171"/>
  <c r="D414" i="171"/>
  <c r="U413" i="171"/>
  <c r="O413" i="171"/>
  <c r="G413" i="171"/>
  <c r="D413" i="171"/>
  <c r="U412" i="171"/>
  <c r="O412" i="171"/>
  <c r="G412" i="171"/>
  <c r="D412" i="171"/>
  <c r="U411" i="171"/>
  <c r="O411" i="171"/>
  <c r="G411" i="171"/>
  <c r="D411" i="171"/>
  <c r="U410" i="171"/>
  <c r="O410" i="171"/>
  <c r="G410" i="171"/>
  <c r="D410" i="171"/>
  <c r="U409" i="171"/>
  <c r="O409" i="171"/>
  <c r="G409" i="171"/>
  <c r="D409" i="171"/>
  <c r="U408" i="171"/>
  <c r="O408" i="171"/>
  <c r="G408" i="171"/>
  <c r="D408" i="171"/>
  <c r="U407" i="171"/>
  <c r="O407" i="171"/>
  <c r="G407" i="171"/>
  <c r="D407" i="171"/>
  <c r="U406" i="171"/>
  <c r="O406" i="171"/>
  <c r="G406" i="171"/>
  <c r="D406" i="171"/>
  <c r="U405" i="171"/>
  <c r="O405" i="171"/>
  <c r="G405" i="171"/>
  <c r="D405" i="171"/>
  <c r="U404" i="171"/>
  <c r="O404" i="171"/>
  <c r="G404" i="171"/>
  <c r="D404" i="171"/>
  <c r="U403" i="171"/>
  <c r="O403" i="171"/>
  <c r="G403" i="171"/>
  <c r="D403" i="171"/>
  <c r="U402" i="171"/>
  <c r="O402" i="171"/>
  <c r="G402" i="171"/>
  <c r="D402" i="171"/>
  <c r="U401" i="171"/>
  <c r="O401" i="171"/>
  <c r="G401" i="171"/>
  <c r="D401" i="171"/>
  <c r="U400" i="171"/>
  <c r="O400" i="171"/>
  <c r="G400" i="171"/>
  <c r="D400" i="171"/>
  <c r="U399" i="171"/>
  <c r="O399" i="171"/>
  <c r="G399" i="171"/>
  <c r="D399" i="171"/>
  <c r="U398" i="171"/>
  <c r="O398" i="171"/>
  <c r="G398" i="171"/>
  <c r="D398" i="171"/>
  <c r="U397" i="171"/>
  <c r="O397" i="171"/>
  <c r="G397" i="171"/>
  <c r="D397" i="171"/>
  <c r="U396" i="171"/>
  <c r="O396" i="171"/>
  <c r="G396" i="171"/>
  <c r="D396" i="171"/>
  <c r="U395" i="171"/>
  <c r="O395" i="171"/>
  <c r="G395" i="171"/>
  <c r="D395" i="171"/>
  <c r="U394" i="171"/>
  <c r="O394" i="171"/>
  <c r="G394" i="171"/>
  <c r="D394" i="171"/>
  <c r="U393" i="171"/>
  <c r="O393" i="171"/>
  <c r="G393" i="171"/>
  <c r="D393" i="171"/>
  <c r="U392" i="171"/>
  <c r="O392" i="171"/>
  <c r="G392" i="171"/>
  <c r="D392" i="171"/>
  <c r="U391" i="171"/>
  <c r="O391" i="171"/>
  <c r="G391" i="171"/>
  <c r="D391" i="171"/>
  <c r="U390" i="171"/>
  <c r="O390" i="171"/>
  <c r="G390" i="171"/>
  <c r="D390" i="171"/>
  <c r="U389" i="171"/>
  <c r="O389" i="171"/>
  <c r="G389" i="171"/>
  <c r="D389" i="171"/>
  <c r="W388" i="171"/>
  <c r="U388" i="171"/>
  <c r="O388" i="171"/>
  <c r="G388" i="171"/>
  <c r="D388" i="171"/>
  <c r="W387" i="171"/>
  <c r="U387" i="171"/>
  <c r="O387" i="171"/>
  <c r="G387" i="171"/>
  <c r="D387" i="171"/>
  <c r="W386" i="171"/>
  <c r="U386" i="171"/>
  <c r="O386" i="171"/>
  <c r="G386" i="171"/>
  <c r="D386" i="171"/>
  <c r="W385" i="171"/>
  <c r="U385" i="171"/>
  <c r="O385" i="171"/>
  <c r="G385" i="171"/>
  <c r="D385" i="171"/>
  <c r="W384" i="171"/>
  <c r="U384" i="171"/>
  <c r="O384" i="171"/>
  <c r="G384" i="171"/>
  <c r="D384" i="171"/>
  <c r="W383" i="171"/>
  <c r="U383" i="171"/>
  <c r="O383" i="171"/>
  <c r="G383" i="171"/>
  <c r="D383" i="171"/>
  <c r="W382" i="171"/>
  <c r="U382" i="171"/>
  <c r="O382" i="171"/>
  <c r="G382" i="171"/>
  <c r="D382" i="171"/>
  <c r="W381" i="171"/>
  <c r="U381" i="171"/>
  <c r="O381" i="171"/>
  <c r="G381" i="171"/>
  <c r="D381" i="171"/>
  <c r="W380" i="171"/>
  <c r="U380" i="171"/>
  <c r="O380" i="171"/>
  <c r="G380" i="171"/>
  <c r="D380" i="171"/>
  <c r="U379" i="171"/>
  <c r="O379" i="171"/>
  <c r="G379" i="171"/>
  <c r="D379" i="171"/>
  <c r="U378" i="171"/>
  <c r="O378" i="171"/>
  <c r="G378" i="171"/>
  <c r="D378" i="171"/>
  <c r="U377" i="171"/>
  <c r="O377" i="171"/>
  <c r="G377" i="171"/>
  <c r="D377" i="171"/>
  <c r="U376" i="171"/>
  <c r="O376" i="171"/>
  <c r="G376" i="171"/>
  <c r="D376" i="171"/>
  <c r="U375" i="171"/>
  <c r="O375" i="171"/>
  <c r="G375" i="171"/>
  <c r="D375" i="171"/>
  <c r="U374" i="171"/>
  <c r="O374" i="171"/>
  <c r="G374" i="171"/>
  <c r="D374" i="171"/>
  <c r="U373" i="171"/>
  <c r="O373" i="171"/>
  <c r="G373" i="171"/>
  <c r="D373" i="171"/>
  <c r="U372" i="171"/>
  <c r="O372" i="171"/>
  <c r="G372" i="171"/>
  <c r="D372" i="171"/>
  <c r="U371" i="171"/>
  <c r="O371" i="171"/>
  <c r="G371" i="171"/>
  <c r="D371" i="171"/>
  <c r="T370" i="171"/>
  <c r="Q370" i="171"/>
  <c r="O370" i="171"/>
  <c r="G370" i="171"/>
  <c r="D370" i="171"/>
  <c r="T369" i="171"/>
  <c r="Q369" i="171"/>
  <c r="O369" i="171"/>
  <c r="G369" i="171"/>
  <c r="D369" i="171"/>
  <c r="T368" i="171"/>
  <c r="Q368" i="171"/>
  <c r="O368" i="171"/>
  <c r="G368" i="171"/>
  <c r="D368" i="171"/>
  <c r="T367" i="171"/>
  <c r="Q367" i="171"/>
  <c r="O367" i="171"/>
  <c r="G367" i="171"/>
  <c r="D367" i="171"/>
  <c r="T366" i="171"/>
  <c r="Q366" i="171"/>
  <c r="O366" i="171"/>
  <c r="G366" i="171"/>
  <c r="D366" i="171"/>
  <c r="T365" i="171"/>
  <c r="Q365" i="171"/>
  <c r="O365" i="171"/>
  <c r="G365" i="171"/>
  <c r="D365" i="171"/>
  <c r="T364" i="171"/>
  <c r="Q364" i="171"/>
  <c r="O364" i="171"/>
  <c r="G364" i="171"/>
  <c r="D364" i="171"/>
  <c r="T363" i="171"/>
  <c r="Q363" i="171"/>
  <c r="O363" i="171"/>
  <c r="G363" i="171"/>
  <c r="D363" i="171"/>
  <c r="T362" i="171"/>
  <c r="Q362" i="171"/>
  <c r="O362" i="171"/>
  <c r="G362" i="171"/>
  <c r="D362" i="171"/>
  <c r="T361" i="171"/>
  <c r="Q361" i="171"/>
  <c r="O361" i="171"/>
  <c r="G361" i="171"/>
  <c r="D361" i="171"/>
  <c r="T360" i="171"/>
  <c r="Q360" i="171"/>
  <c r="O360" i="171"/>
  <c r="G360" i="171"/>
  <c r="D360" i="171"/>
  <c r="T359" i="171"/>
  <c r="Q359" i="171"/>
  <c r="O359" i="171"/>
  <c r="G359" i="171"/>
  <c r="D359" i="171"/>
  <c r="T358" i="171"/>
  <c r="Q358" i="171"/>
  <c r="O358" i="171"/>
  <c r="G358" i="171"/>
  <c r="D358" i="171"/>
  <c r="T357" i="171"/>
  <c r="Q357" i="171"/>
  <c r="O357" i="171"/>
  <c r="G357" i="171"/>
  <c r="D357" i="171"/>
  <c r="T356" i="171"/>
  <c r="Q356" i="171"/>
  <c r="O356" i="171"/>
  <c r="G356" i="171"/>
  <c r="D356" i="171"/>
  <c r="T355" i="171"/>
  <c r="Q355" i="171"/>
  <c r="O355" i="171"/>
  <c r="G355" i="171"/>
  <c r="D355" i="171"/>
  <c r="T354" i="171"/>
  <c r="Q354" i="171"/>
  <c r="O354" i="171"/>
  <c r="G354" i="171"/>
  <c r="D354" i="171"/>
  <c r="T353" i="171"/>
  <c r="Q353" i="171"/>
  <c r="O353" i="171"/>
  <c r="G353" i="171"/>
  <c r="D353" i="171"/>
  <c r="T352" i="171"/>
  <c r="Q352" i="171"/>
  <c r="O352" i="171"/>
  <c r="G352" i="171"/>
  <c r="D352" i="171"/>
  <c r="T351" i="171"/>
  <c r="Q351" i="171"/>
  <c r="O351" i="171"/>
  <c r="G351" i="171"/>
  <c r="D351" i="171"/>
  <c r="T350" i="171"/>
  <c r="Q350" i="171"/>
  <c r="O350" i="171"/>
  <c r="G350" i="171"/>
  <c r="D350" i="171"/>
  <c r="T349" i="171"/>
  <c r="Q349" i="171"/>
  <c r="O349" i="171"/>
  <c r="G349" i="171"/>
  <c r="D349" i="171"/>
  <c r="T348" i="171"/>
  <c r="Q348" i="171"/>
  <c r="O348" i="171"/>
  <c r="G348" i="171"/>
  <c r="D348" i="171"/>
  <c r="T347" i="171"/>
  <c r="Q347" i="171"/>
  <c r="O347" i="171"/>
  <c r="G347" i="171"/>
  <c r="D347" i="171"/>
  <c r="T346" i="171"/>
  <c r="Q346" i="171"/>
  <c r="O346" i="171"/>
  <c r="G346" i="171"/>
  <c r="D346" i="171"/>
  <c r="T345" i="171"/>
  <c r="Q345" i="171"/>
  <c r="O345" i="171"/>
  <c r="G345" i="171"/>
  <c r="D345" i="171"/>
  <c r="T344" i="171"/>
  <c r="Q344" i="171"/>
  <c r="O344" i="171"/>
  <c r="G344" i="171"/>
  <c r="D344" i="171"/>
  <c r="W343" i="171"/>
  <c r="T343" i="171"/>
  <c r="Q343" i="171"/>
  <c r="O343" i="171"/>
  <c r="G343" i="171"/>
  <c r="D343" i="171"/>
  <c r="W342" i="171"/>
  <c r="T342" i="171"/>
  <c r="Q342" i="171"/>
  <c r="O342" i="171"/>
  <c r="G342" i="171"/>
  <c r="D342" i="171"/>
  <c r="W341" i="171"/>
  <c r="T341" i="171"/>
  <c r="Q341" i="171"/>
  <c r="O341" i="171"/>
  <c r="G341" i="171"/>
  <c r="D341" i="171"/>
  <c r="W340" i="171"/>
  <c r="T340" i="171"/>
  <c r="Q340" i="171"/>
  <c r="O340" i="171"/>
  <c r="G340" i="171"/>
  <c r="D340" i="171"/>
  <c r="W339" i="171"/>
  <c r="T339" i="171"/>
  <c r="Q339" i="171"/>
  <c r="O339" i="171"/>
  <c r="G339" i="171"/>
  <c r="D339" i="171"/>
  <c r="W338" i="171"/>
  <c r="T338" i="171"/>
  <c r="Q338" i="171"/>
  <c r="O338" i="171"/>
  <c r="G338" i="171"/>
  <c r="D338" i="171"/>
  <c r="W337" i="171"/>
  <c r="T337" i="171"/>
  <c r="Q337" i="171"/>
  <c r="O337" i="171"/>
  <c r="G337" i="171"/>
  <c r="D337" i="171"/>
  <c r="W336" i="171"/>
  <c r="T336" i="171"/>
  <c r="Q336" i="171"/>
  <c r="O336" i="171"/>
  <c r="G336" i="171"/>
  <c r="D336" i="171"/>
  <c r="W335" i="171"/>
  <c r="T335" i="171"/>
  <c r="Q335" i="171"/>
  <c r="O335" i="171"/>
  <c r="G335" i="171"/>
  <c r="D335" i="171"/>
  <c r="T334" i="171"/>
  <c r="Q334" i="171"/>
  <c r="O334" i="171"/>
  <c r="G334" i="171"/>
  <c r="D334" i="171"/>
  <c r="T333" i="171"/>
  <c r="Q333" i="171"/>
  <c r="O333" i="171"/>
  <c r="G333" i="171"/>
  <c r="D333" i="171"/>
  <c r="T332" i="171"/>
  <c r="Q332" i="171"/>
  <c r="O332" i="171"/>
  <c r="G332" i="171"/>
  <c r="D332" i="171"/>
  <c r="T331" i="171"/>
  <c r="Q331" i="171"/>
  <c r="O331" i="171"/>
  <c r="G331" i="171"/>
  <c r="D331" i="171"/>
  <c r="T330" i="171"/>
  <c r="Q330" i="171"/>
  <c r="O330" i="171"/>
  <c r="G330" i="171"/>
  <c r="D330" i="171"/>
  <c r="T329" i="171"/>
  <c r="Q329" i="171"/>
  <c r="O329" i="171"/>
  <c r="G329" i="171"/>
  <c r="D329" i="171"/>
  <c r="T328" i="171"/>
  <c r="Q328" i="171"/>
  <c r="O328" i="171"/>
  <c r="G328" i="171"/>
  <c r="D328" i="171"/>
  <c r="T327" i="171"/>
  <c r="Q327" i="171"/>
  <c r="O327" i="171"/>
  <c r="G327" i="171"/>
  <c r="D327" i="171"/>
  <c r="T326" i="171"/>
  <c r="Q326" i="171"/>
  <c r="O326" i="171"/>
  <c r="G326" i="171"/>
  <c r="D326" i="171"/>
  <c r="T325" i="171"/>
  <c r="Q325" i="171"/>
  <c r="O325" i="171"/>
  <c r="G325" i="171"/>
  <c r="D325" i="171"/>
  <c r="T324" i="171"/>
  <c r="Q324" i="171"/>
  <c r="O324" i="171"/>
  <c r="G324" i="171"/>
  <c r="D324" i="171"/>
  <c r="T323" i="171"/>
  <c r="Q323" i="171"/>
  <c r="O323" i="171"/>
  <c r="G323" i="171"/>
  <c r="D323" i="171"/>
  <c r="T322" i="171"/>
  <c r="Q322" i="171"/>
  <c r="O322" i="171"/>
  <c r="G322" i="171"/>
  <c r="D322" i="171"/>
  <c r="T321" i="171"/>
  <c r="Q321" i="171"/>
  <c r="O321" i="171"/>
  <c r="G321" i="171"/>
  <c r="D321" i="171"/>
  <c r="T320" i="171"/>
  <c r="Q320" i="171"/>
  <c r="O320" i="171"/>
  <c r="G320" i="171"/>
  <c r="D320" i="171"/>
  <c r="T319" i="171"/>
  <c r="Q319" i="171"/>
  <c r="O319" i="171"/>
  <c r="G319" i="171"/>
  <c r="D319" i="171"/>
  <c r="T318" i="171"/>
  <c r="Q318" i="171"/>
  <c r="O318" i="171"/>
  <c r="G318" i="171"/>
  <c r="D318" i="171"/>
  <c r="T317" i="171"/>
  <c r="Q317" i="171"/>
  <c r="O317" i="171"/>
  <c r="G317" i="171"/>
  <c r="D317" i="171"/>
  <c r="V316" i="171"/>
  <c r="U316" i="171"/>
  <c r="T316" i="171"/>
  <c r="Q316" i="171"/>
  <c r="O316" i="171"/>
  <c r="G316" i="171"/>
  <c r="D316" i="171"/>
  <c r="V315" i="171"/>
  <c r="U315" i="171"/>
  <c r="T315" i="171"/>
  <c r="Q315" i="171"/>
  <c r="O315" i="171"/>
  <c r="G315" i="171"/>
  <c r="D315" i="171"/>
  <c r="V314" i="171"/>
  <c r="U314" i="171"/>
  <c r="T314" i="171"/>
  <c r="Q314" i="171"/>
  <c r="O314" i="171"/>
  <c r="G314" i="171"/>
  <c r="D314" i="171"/>
  <c r="V313" i="171"/>
  <c r="U313" i="171"/>
  <c r="T313" i="171"/>
  <c r="Q313" i="171"/>
  <c r="O313" i="171"/>
  <c r="G313" i="171"/>
  <c r="D313" i="171"/>
  <c r="V312" i="171"/>
  <c r="U312" i="171"/>
  <c r="T312" i="171"/>
  <c r="Q312" i="171"/>
  <c r="O312" i="171"/>
  <c r="G312" i="171"/>
  <c r="D312" i="171"/>
  <c r="V311" i="171"/>
  <c r="U311" i="171"/>
  <c r="T311" i="171"/>
  <c r="Q311" i="171"/>
  <c r="O311" i="171"/>
  <c r="G311" i="171"/>
  <c r="D311" i="171"/>
  <c r="V310" i="171"/>
  <c r="U310" i="171"/>
  <c r="T310" i="171"/>
  <c r="Q310" i="171"/>
  <c r="O310" i="171"/>
  <c r="G310" i="171"/>
  <c r="D310" i="171"/>
  <c r="V309" i="171"/>
  <c r="U309" i="171"/>
  <c r="T309" i="171"/>
  <c r="Q309" i="171"/>
  <c r="O309" i="171"/>
  <c r="G309" i="171"/>
  <c r="D309" i="171"/>
  <c r="V308" i="171"/>
  <c r="U308" i="171"/>
  <c r="T308" i="171"/>
  <c r="Q308" i="171"/>
  <c r="O308" i="171"/>
  <c r="G308" i="171"/>
  <c r="D308" i="171"/>
  <c r="V307" i="171"/>
  <c r="U307" i="171"/>
  <c r="T307" i="171"/>
  <c r="Q307" i="171"/>
  <c r="O307" i="171"/>
  <c r="G307" i="171"/>
  <c r="D307" i="171"/>
  <c r="V306" i="171"/>
  <c r="U306" i="171"/>
  <c r="T306" i="171"/>
  <c r="Q306" i="171"/>
  <c r="O306" i="171"/>
  <c r="G306" i="171"/>
  <c r="D306" i="171"/>
  <c r="V305" i="171"/>
  <c r="U305" i="171"/>
  <c r="T305" i="171"/>
  <c r="Q305" i="171"/>
  <c r="O305" i="171"/>
  <c r="G305" i="171"/>
  <c r="D305" i="171"/>
  <c r="V304" i="171"/>
  <c r="U304" i="171"/>
  <c r="T304" i="171"/>
  <c r="Q304" i="171"/>
  <c r="O304" i="171"/>
  <c r="G304" i="171"/>
  <c r="D304" i="171"/>
  <c r="V303" i="171"/>
  <c r="U303" i="171"/>
  <c r="T303" i="171"/>
  <c r="Q303" i="171"/>
  <c r="O303" i="171"/>
  <c r="G303" i="171"/>
  <c r="D303" i="171"/>
  <c r="V302" i="171"/>
  <c r="U302" i="171"/>
  <c r="T302" i="171"/>
  <c r="Q302" i="171"/>
  <c r="O302" i="171"/>
  <c r="G302" i="171"/>
  <c r="D302" i="171"/>
  <c r="V301" i="171"/>
  <c r="U301" i="171"/>
  <c r="T301" i="171"/>
  <c r="Q301" i="171"/>
  <c r="O301" i="171"/>
  <c r="G301" i="171"/>
  <c r="D301" i="171"/>
  <c r="V300" i="171"/>
  <c r="U300" i="171"/>
  <c r="T300" i="171"/>
  <c r="Q300" i="171"/>
  <c r="O300" i="171"/>
  <c r="G300" i="171"/>
  <c r="D300" i="171"/>
  <c r="V299" i="171"/>
  <c r="U299" i="171"/>
  <c r="T299" i="171"/>
  <c r="Q299" i="171"/>
  <c r="O299" i="171"/>
  <c r="G299" i="171"/>
  <c r="D299" i="171"/>
  <c r="W298" i="171"/>
  <c r="V298" i="171"/>
  <c r="U298" i="171"/>
  <c r="T298" i="171"/>
  <c r="Q298" i="171"/>
  <c r="O298" i="171"/>
  <c r="G298" i="171"/>
  <c r="D298" i="171"/>
  <c r="W297" i="171"/>
  <c r="V297" i="171"/>
  <c r="U297" i="171"/>
  <c r="T297" i="171"/>
  <c r="Q297" i="171"/>
  <c r="O297" i="171"/>
  <c r="G297" i="171"/>
  <c r="D297" i="171"/>
  <c r="W296" i="171"/>
  <c r="V296" i="171"/>
  <c r="U296" i="171"/>
  <c r="T296" i="171"/>
  <c r="Q296" i="171"/>
  <c r="O296" i="171"/>
  <c r="G296" i="171"/>
  <c r="D296" i="171"/>
  <c r="W295" i="171"/>
  <c r="V295" i="171"/>
  <c r="U295" i="171"/>
  <c r="T295" i="171"/>
  <c r="Q295" i="171"/>
  <c r="O295" i="171"/>
  <c r="G295" i="171"/>
  <c r="D295" i="171"/>
  <c r="W294" i="171"/>
  <c r="V294" i="171"/>
  <c r="U294" i="171"/>
  <c r="T294" i="171"/>
  <c r="Q294" i="171"/>
  <c r="O294" i="171"/>
  <c r="G294" i="171"/>
  <c r="D294" i="171"/>
  <c r="W293" i="171"/>
  <c r="V293" i="171"/>
  <c r="U293" i="171"/>
  <c r="T293" i="171"/>
  <c r="Q293" i="171"/>
  <c r="O293" i="171"/>
  <c r="G293" i="171"/>
  <c r="D293" i="171"/>
  <c r="W292" i="171"/>
  <c r="V292" i="171"/>
  <c r="U292" i="171"/>
  <c r="T292" i="171"/>
  <c r="Q292" i="171"/>
  <c r="O292" i="171"/>
  <c r="G292" i="171"/>
  <c r="D292" i="171"/>
  <c r="W291" i="171"/>
  <c r="V291" i="171"/>
  <c r="U291" i="171"/>
  <c r="T291" i="171"/>
  <c r="Q291" i="171"/>
  <c r="O291" i="171"/>
  <c r="G291" i="171"/>
  <c r="D291" i="171"/>
  <c r="W290" i="171"/>
  <c r="V290" i="171"/>
  <c r="U290" i="171"/>
  <c r="T290" i="171"/>
  <c r="Q290" i="171"/>
  <c r="O290" i="171"/>
  <c r="G290" i="171"/>
  <c r="D290" i="171"/>
  <c r="V289" i="171"/>
  <c r="U289" i="171"/>
  <c r="T289" i="171"/>
  <c r="Q289" i="171"/>
  <c r="O289" i="171"/>
  <c r="G289" i="171"/>
  <c r="D289" i="171"/>
  <c r="V288" i="171"/>
  <c r="U288" i="171"/>
  <c r="T288" i="171"/>
  <c r="Q288" i="171"/>
  <c r="O288" i="171"/>
  <c r="G288" i="171"/>
  <c r="D288" i="171"/>
  <c r="V287" i="171"/>
  <c r="U287" i="171"/>
  <c r="T287" i="171"/>
  <c r="Q287" i="171"/>
  <c r="O287" i="171"/>
  <c r="G287" i="171"/>
  <c r="D287" i="171"/>
  <c r="V286" i="171"/>
  <c r="U286" i="171"/>
  <c r="T286" i="171"/>
  <c r="Q286" i="171"/>
  <c r="O286" i="171"/>
  <c r="G286" i="171"/>
  <c r="D286" i="171"/>
  <c r="V285" i="171"/>
  <c r="U285" i="171"/>
  <c r="T285" i="171"/>
  <c r="Q285" i="171"/>
  <c r="O285" i="171"/>
  <c r="G285" i="171"/>
  <c r="D285" i="171"/>
  <c r="V284" i="171"/>
  <c r="U284" i="171"/>
  <c r="T284" i="171"/>
  <c r="Q284" i="171"/>
  <c r="O284" i="171"/>
  <c r="G284" i="171"/>
  <c r="D284" i="171"/>
  <c r="V283" i="171"/>
  <c r="U283" i="171"/>
  <c r="T283" i="171"/>
  <c r="Q283" i="171"/>
  <c r="O283" i="171"/>
  <c r="G283" i="171"/>
  <c r="D283" i="171"/>
  <c r="V282" i="171"/>
  <c r="U282" i="171"/>
  <c r="T282" i="171"/>
  <c r="Q282" i="171"/>
  <c r="O282" i="171"/>
  <c r="G282" i="171"/>
  <c r="D282" i="171"/>
  <c r="V281" i="171"/>
  <c r="U281" i="171"/>
  <c r="T281" i="171"/>
  <c r="Q281" i="171"/>
  <c r="O281" i="171"/>
  <c r="G281" i="171"/>
  <c r="D281" i="171"/>
  <c r="V280" i="171"/>
  <c r="U280" i="171"/>
  <c r="T280" i="171"/>
  <c r="Q280" i="171"/>
  <c r="O280" i="171"/>
  <c r="G280" i="171"/>
  <c r="D280" i="171"/>
  <c r="V279" i="171"/>
  <c r="U279" i="171"/>
  <c r="T279" i="171"/>
  <c r="Q279" i="171"/>
  <c r="O279" i="171"/>
  <c r="G279" i="171"/>
  <c r="D279" i="171"/>
  <c r="V278" i="171"/>
  <c r="U278" i="171"/>
  <c r="T278" i="171"/>
  <c r="Q278" i="171"/>
  <c r="O278" i="171"/>
  <c r="G278" i="171"/>
  <c r="D278" i="171"/>
  <c r="V277" i="171"/>
  <c r="U277" i="171"/>
  <c r="T277" i="171"/>
  <c r="Q277" i="171"/>
  <c r="O277" i="171"/>
  <c r="G277" i="171"/>
  <c r="D277" i="171"/>
  <c r="V276" i="171"/>
  <c r="U276" i="171"/>
  <c r="T276" i="171"/>
  <c r="Q276" i="171"/>
  <c r="O276" i="171"/>
  <c r="G276" i="171"/>
  <c r="D276" i="171"/>
  <c r="V275" i="171"/>
  <c r="U275" i="171"/>
  <c r="T275" i="171"/>
  <c r="Q275" i="171"/>
  <c r="O275" i="171"/>
  <c r="G275" i="171"/>
  <c r="D275" i="171"/>
  <c r="V274" i="171"/>
  <c r="U274" i="171"/>
  <c r="T274" i="171"/>
  <c r="Q274" i="171"/>
  <c r="O274" i="171"/>
  <c r="G274" i="171"/>
  <c r="D274" i="171"/>
  <c r="V273" i="171"/>
  <c r="U273" i="171"/>
  <c r="T273" i="171"/>
  <c r="Q273" i="171"/>
  <c r="O273" i="171"/>
  <c r="G273" i="171"/>
  <c r="D273" i="171"/>
  <c r="V272" i="171"/>
  <c r="U272" i="171"/>
  <c r="T272" i="171"/>
  <c r="Q272" i="171"/>
  <c r="O272" i="171"/>
  <c r="G272" i="171"/>
  <c r="D272" i="171"/>
  <c r="V271" i="171"/>
  <c r="U271" i="171"/>
  <c r="T271" i="171"/>
  <c r="Q271" i="171"/>
  <c r="O271" i="171"/>
  <c r="G271" i="171"/>
  <c r="D271" i="171"/>
  <c r="V270" i="171"/>
  <c r="U270" i="171"/>
  <c r="T270" i="171"/>
  <c r="Q270" i="171"/>
  <c r="O270" i="171"/>
  <c r="G270" i="171"/>
  <c r="D270" i="171"/>
  <c r="V269" i="171"/>
  <c r="U269" i="171"/>
  <c r="T269" i="171"/>
  <c r="Q269" i="171"/>
  <c r="O269" i="171"/>
  <c r="G269" i="171"/>
  <c r="D269" i="171"/>
  <c r="V268" i="171"/>
  <c r="U268" i="171"/>
  <c r="T268" i="171"/>
  <c r="Q268" i="171"/>
  <c r="O268" i="171"/>
  <c r="G268" i="171"/>
  <c r="D268" i="171"/>
  <c r="V267" i="171"/>
  <c r="U267" i="171"/>
  <c r="T267" i="171"/>
  <c r="Q267" i="171"/>
  <c r="O267" i="171"/>
  <c r="G267" i="171"/>
  <c r="D267" i="171"/>
  <c r="V266" i="171"/>
  <c r="U266" i="171"/>
  <c r="T266" i="171"/>
  <c r="Q266" i="171"/>
  <c r="O266" i="171"/>
  <c r="G266" i="171"/>
  <c r="D266" i="171"/>
  <c r="V265" i="171"/>
  <c r="U265" i="171"/>
  <c r="T265" i="171"/>
  <c r="Q265" i="171"/>
  <c r="O265" i="171"/>
  <c r="G265" i="171"/>
  <c r="D265" i="171"/>
  <c r="V264" i="171"/>
  <c r="U264" i="171"/>
  <c r="T264" i="171"/>
  <c r="Q264" i="171"/>
  <c r="O264" i="171"/>
  <c r="G264" i="171"/>
  <c r="D264" i="171"/>
  <c r="V263" i="171"/>
  <c r="U263" i="171"/>
  <c r="T263" i="171"/>
  <c r="Q263" i="171"/>
  <c r="O263" i="171"/>
  <c r="G263" i="171"/>
  <c r="D263" i="171"/>
  <c r="V262" i="171"/>
  <c r="U262" i="171"/>
  <c r="T262" i="171"/>
  <c r="Q262" i="171"/>
  <c r="O262" i="171"/>
  <c r="G262" i="171"/>
  <c r="D262" i="171"/>
  <c r="V261" i="171"/>
  <c r="U261" i="171"/>
  <c r="T261" i="171"/>
  <c r="Q261" i="171"/>
  <c r="O261" i="171"/>
  <c r="G261" i="171"/>
  <c r="D261" i="171"/>
  <c r="V260" i="171"/>
  <c r="U260" i="171"/>
  <c r="T260" i="171"/>
  <c r="Q260" i="171"/>
  <c r="O260" i="171"/>
  <c r="G260" i="171"/>
  <c r="D260" i="171"/>
  <c r="V259" i="171"/>
  <c r="U259" i="171"/>
  <c r="T259" i="171"/>
  <c r="Q259" i="171"/>
  <c r="O259" i="171"/>
  <c r="G259" i="171"/>
  <c r="D259" i="171"/>
  <c r="V258" i="171"/>
  <c r="U258" i="171"/>
  <c r="T258" i="171"/>
  <c r="Q258" i="171"/>
  <c r="O258" i="171"/>
  <c r="G258" i="171"/>
  <c r="D258" i="171"/>
  <c r="V257" i="171"/>
  <c r="U257" i="171"/>
  <c r="T257" i="171"/>
  <c r="Q257" i="171"/>
  <c r="O257" i="171"/>
  <c r="G257" i="171"/>
  <c r="D257" i="171"/>
  <c r="V256" i="171"/>
  <c r="U256" i="171"/>
  <c r="T256" i="171"/>
  <c r="Q256" i="171"/>
  <c r="O256" i="171"/>
  <c r="G256" i="171"/>
  <c r="D256" i="171"/>
  <c r="V255" i="171"/>
  <c r="U255" i="171"/>
  <c r="T255" i="171"/>
  <c r="Q255" i="171"/>
  <c r="O255" i="171"/>
  <c r="G255" i="171"/>
  <c r="D255" i="171"/>
  <c r="V254" i="171"/>
  <c r="U254" i="171"/>
  <c r="T254" i="171"/>
  <c r="Q254" i="171"/>
  <c r="O254" i="171"/>
  <c r="G254" i="171"/>
  <c r="D254" i="171"/>
  <c r="W253" i="171"/>
  <c r="V253" i="171"/>
  <c r="U253" i="171"/>
  <c r="T253" i="171"/>
  <c r="Q253" i="171"/>
  <c r="O253" i="171"/>
  <c r="G253" i="171"/>
  <c r="D253" i="171"/>
  <c r="W252" i="171"/>
  <c r="V252" i="171"/>
  <c r="U252" i="171"/>
  <c r="T252" i="171"/>
  <c r="Q252" i="171"/>
  <c r="O252" i="171"/>
  <c r="G252" i="171"/>
  <c r="D252" i="171"/>
  <c r="W251" i="171"/>
  <c r="V251" i="171"/>
  <c r="U251" i="171"/>
  <c r="T251" i="171"/>
  <c r="Q251" i="171"/>
  <c r="O251" i="171"/>
  <c r="G251" i="171"/>
  <c r="D251" i="171"/>
  <c r="W250" i="171"/>
  <c r="V250" i="171"/>
  <c r="U250" i="171"/>
  <c r="T250" i="171"/>
  <c r="Q250" i="171"/>
  <c r="O250" i="171"/>
  <c r="G250" i="171"/>
  <c r="D250" i="171"/>
  <c r="W249" i="171"/>
  <c r="V249" i="171"/>
  <c r="U249" i="171"/>
  <c r="T249" i="171"/>
  <c r="Q249" i="171"/>
  <c r="O249" i="171"/>
  <c r="G249" i="171"/>
  <c r="D249" i="171"/>
  <c r="W248" i="171"/>
  <c r="V248" i="171"/>
  <c r="U248" i="171"/>
  <c r="T248" i="171"/>
  <c r="Q248" i="171"/>
  <c r="O248" i="171"/>
  <c r="G248" i="171"/>
  <c r="D248" i="171"/>
  <c r="W247" i="171"/>
  <c r="V247" i="171"/>
  <c r="U247" i="171"/>
  <c r="T247" i="171"/>
  <c r="Q247" i="171"/>
  <c r="O247" i="171"/>
  <c r="G247" i="171"/>
  <c r="D247" i="171"/>
  <c r="W246" i="171"/>
  <c r="V246" i="171"/>
  <c r="U246" i="171"/>
  <c r="T246" i="171"/>
  <c r="Q246" i="171"/>
  <c r="O246" i="171"/>
  <c r="G246" i="171"/>
  <c r="D246" i="171"/>
  <c r="W245" i="171"/>
  <c r="V245" i="171"/>
  <c r="U245" i="171"/>
  <c r="T245" i="171"/>
  <c r="Q245" i="171"/>
  <c r="O245" i="171"/>
  <c r="G245" i="171"/>
  <c r="D245" i="171"/>
  <c r="V244" i="171"/>
  <c r="U244" i="171"/>
  <c r="T244" i="171"/>
  <c r="Q244" i="171"/>
  <c r="O244" i="171"/>
  <c r="G244" i="171"/>
  <c r="D244" i="171"/>
  <c r="V243" i="171"/>
  <c r="U243" i="171"/>
  <c r="T243" i="171"/>
  <c r="Q243" i="171"/>
  <c r="O243" i="171"/>
  <c r="G243" i="171"/>
  <c r="D243" i="171"/>
  <c r="V242" i="171"/>
  <c r="U242" i="171"/>
  <c r="T242" i="171"/>
  <c r="Q242" i="171"/>
  <c r="O242" i="171"/>
  <c r="G242" i="171"/>
  <c r="D242" i="171"/>
  <c r="V241" i="171"/>
  <c r="U241" i="171"/>
  <c r="T241" i="171"/>
  <c r="Q241" i="171"/>
  <c r="O241" i="171"/>
  <c r="G241" i="171"/>
  <c r="D241" i="171"/>
  <c r="V240" i="171"/>
  <c r="U240" i="171"/>
  <c r="T240" i="171"/>
  <c r="Q240" i="171"/>
  <c r="O240" i="171"/>
  <c r="G240" i="171"/>
  <c r="D240" i="171"/>
  <c r="V239" i="171"/>
  <c r="U239" i="171"/>
  <c r="T239" i="171"/>
  <c r="Q239" i="171"/>
  <c r="O239" i="171"/>
  <c r="G239" i="171"/>
  <c r="D239" i="171"/>
  <c r="V238" i="171"/>
  <c r="U238" i="171"/>
  <c r="T238" i="171"/>
  <c r="Q238" i="171"/>
  <c r="O238" i="171"/>
  <c r="G238" i="171"/>
  <c r="D238" i="171"/>
  <c r="V237" i="171"/>
  <c r="U237" i="171"/>
  <c r="T237" i="171"/>
  <c r="Q237" i="171"/>
  <c r="O237" i="171"/>
  <c r="G237" i="171"/>
  <c r="D237" i="171"/>
  <c r="V236" i="171"/>
  <c r="U236" i="171"/>
  <c r="T236" i="171"/>
  <c r="Q236" i="171"/>
  <c r="O236" i="171"/>
  <c r="G236" i="171"/>
  <c r="D236" i="171"/>
  <c r="V235" i="171"/>
  <c r="U235" i="171"/>
  <c r="T235" i="171"/>
  <c r="Q235" i="171"/>
  <c r="O235" i="171"/>
  <c r="G235" i="171"/>
  <c r="D235" i="171"/>
  <c r="V234" i="171"/>
  <c r="U234" i="171"/>
  <c r="T234" i="171"/>
  <c r="Q234" i="171"/>
  <c r="O234" i="171"/>
  <c r="G234" i="171"/>
  <c r="D234" i="171"/>
  <c r="V233" i="171"/>
  <c r="U233" i="171"/>
  <c r="T233" i="171"/>
  <c r="Q233" i="171"/>
  <c r="O233" i="171"/>
  <c r="G233" i="171"/>
  <c r="D233" i="171"/>
  <c r="V232" i="171"/>
  <c r="U232" i="171"/>
  <c r="T232" i="171"/>
  <c r="Q232" i="171"/>
  <c r="O232" i="171"/>
  <c r="G232" i="171"/>
  <c r="D232" i="171"/>
  <c r="V231" i="171"/>
  <c r="U231" i="171"/>
  <c r="T231" i="171"/>
  <c r="Q231" i="171"/>
  <c r="O231" i="171"/>
  <c r="G231" i="171"/>
  <c r="D231" i="171"/>
  <c r="V230" i="171"/>
  <c r="U230" i="171"/>
  <c r="T230" i="171"/>
  <c r="Q230" i="171"/>
  <c r="O230" i="171"/>
  <c r="G230" i="171"/>
  <c r="D230" i="171"/>
  <c r="V229" i="171"/>
  <c r="U229" i="171"/>
  <c r="T229" i="171"/>
  <c r="Q229" i="171"/>
  <c r="O229" i="171"/>
  <c r="G229" i="171"/>
  <c r="D229" i="171"/>
  <c r="V228" i="171"/>
  <c r="U228" i="171"/>
  <c r="T228" i="171"/>
  <c r="Q228" i="171"/>
  <c r="O228" i="171"/>
  <c r="G228" i="171"/>
  <c r="D228" i="171"/>
  <c r="V227" i="171"/>
  <c r="U227" i="171"/>
  <c r="T227" i="171"/>
  <c r="Q227" i="171"/>
  <c r="O227" i="171"/>
  <c r="G227" i="171"/>
  <c r="D227" i="171"/>
  <c r="T226" i="171"/>
  <c r="Q226" i="171"/>
  <c r="O226" i="171"/>
  <c r="G226" i="171"/>
  <c r="D226" i="171"/>
  <c r="T225" i="171"/>
  <c r="Q225" i="171"/>
  <c r="O225" i="171"/>
  <c r="G225" i="171"/>
  <c r="D225" i="171"/>
  <c r="T224" i="171"/>
  <c r="Q224" i="171"/>
  <c r="O224" i="171"/>
  <c r="G224" i="171"/>
  <c r="D224" i="171"/>
  <c r="T223" i="171"/>
  <c r="Q223" i="171"/>
  <c r="O223" i="171"/>
  <c r="G223" i="171"/>
  <c r="D223" i="171"/>
  <c r="T222" i="171"/>
  <c r="Q222" i="171"/>
  <c r="O222" i="171"/>
  <c r="G222" i="171"/>
  <c r="D222" i="171"/>
  <c r="T221" i="171"/>
  <c r="Q221" i="171"/>
  <c r="O221" i="171"/>
  <c r="G221" i="171"/>
  <c r="D221" i="171"/>
  <c r="T220" i="171"/>
  <c r="Q220" i="171"/>
  <c r="O220" i="171"/>
  <c r="G220" i="171"/>
  <c r="D220" i="171"/>
  <c r="T219" i="171"/>
  <c r="Q219" i="171"/>
  <c r="O219" i="171"/>
  <c r="G219" i="171"/>
  <c r="D219" i="171"/>
  <c r="T218" i="171"/>
  <c r="Q218" i="171"/>
  <c r="O218" i="171"/>
  <c r="G218" i="171"/>
  <c r="D218" i="171"/>
  <c r="T217" i="171"/>
  <c r="Q217" i="171"/>
  <c r="O217" i="171"/>
  <c r="G217" i="171"/>
  <c r="D217" i="171"/>
  <c r="T216" i="171"/>
  <c r="Q216" i="171"/>
  <c r="O216" i="171"/>
  <c r="G216" i="171"/>
  <c r="D216" i="171"/>
  <c r="T215" i="171"/>
  <c r="Q215" i="171"/>
  <c r="O215" i="171"/>
  <c r="G215" i="171"/>
  <c r="D215" i="171"/>
  <c r="T214" i="171"/>
  <c r="Q214" i="171"/>
  <c r="O214" i="171"/>
  <c r="G214" i="171"/>
  <c r="D214" i="171"/>
  <c r="T213" i="171"/>
  <c r="Q213" i="171"/>
  <c r="O213" i="171"/>
  <c r="G213" i="171"/>
  <c r="D213" i="171"/>
  <c r="T212" i="171"/>
  <c r="Q212" i="171"/>
  <c r="O212" i="171"/>
  <c r="G212" i="171"/>
  <c r="D212" i="171"/>
  <c r="T211" i="171"/>
  <c r="Q211" i="171"/>
  <c r="O211" i="171"/>
  <c r="G211" i="171"/>
  <c r="D211" i="171"/>
  <c r="T210" i="171"/>
  <c r="Q210" i="171"/>
  <c r="O210" i="171"/>
  <c r="G210" i="171"/>
  <c r="D210" i="171"/>
  <c r="T209" i="171"/>
  <c r="Q209" i="171"/>
  <c r="O209" i="171"/>
  <c r="G209" i="171"/>
  <c r="D209" i="171"/>
  <c r="W208" i="171"/>
  <c r="T208" i="171"/>
  <c r="Q208" i="171"/>
  <c r="O208" i="171"/>
  <c r="G208" i="171"/>
  <c r="D208" i="171"/>
  <c r="W207" i="171"/>
  <c r="T207" i="171"/>
  <c r="Q207" i="171"/>
  <c r="O207" i="171"/>
  <c r="G207" i="171"/>
  <c r="D207" i="171"/>
  <c r="W206" i="171"/>
  <c r="T206" i="171"/>
  <c r="Q206" i="171"/>
  <c r="O206" i="171"/>
  <c r="G206" i="171"/>
  <c r="D206" i="171"/>
  <c r="W205" i="171"/>
  <c r="T205" i="171"/>
  <c r="Q205" i="171"/>
  <c r="O205" i="171"/>
  <c r="G205" i="171"/>
  <c r="D205" i="171"/>
  <c r="W204" i="171"/>
  <c r="T204" i="171"/>
  <c r="Q204" i="171"/>
  <c r="O204" i="171"/>
  <c r="G204" i="171"/>
  <c r="D204" i="171"/>
  <c r="W203" i="171"/>
  <c r="T203" i="171"/>
  <c r="Q203" i="171"/>
  <c r="O203" i="171"/>
  <c r="G203" i="171"/>
  <c r="D203" i="171"/>
  <c r="W202" i="171"/>
  <c r="T202" i="171"/>
  <c r="Q202" i="171"/>
  <c r="O202" i="171"/>
  <c r="G202" i="171"/>
  <c r="D202" i="171"/>
  <c r="W201" i="171"/>
  <c r="T201" i="171"/>
  <c r="Q201" i="171"/>
  <c r="O201" i="171"/>
  <c r="G201" i="171"/>
  <c r="D201" i="171"/>
  <c r="W200" i="171"/>
  <c r="T200" i="171"/>
  <c r="Q200" i="171"/>
  <c r="O200" i="171"/>
  <c r="G200" i="171"/>
  <c r="D200" i="171"/>
  <c r="T199" i="171"/>
  <c r="Q199" i="171"/>
  <c r="O199" i="171"/>
  <c r="G199" i="171"/>
  <c r="D199" i="171"/>
  <c r="T198" i="171"/>
  <c r="Q198" i="171"/>
  <c r="O198" i="171"/>
  <c r="G198" i="171"/>
  <c r="D198" i="171"/>
  <c r="T197" i="171"/>
  <c r="Q197" i="171"/>
  <c r="O197" i="171"/>
  <c r="G197" i="171"/>
  <c r="D197" i="171"/>
  <c r="T196" i="171"/>
  <c r="Q196" i="171"/>
  <c r="O196" i="171"/>
  <c r="G196" i="171"/>
  <c r="D196" i="171"/>
  <c r="T195" i="171"/>
  <c r="Q195" i="171"/>
  <c r="O195" i="171"/>
  <c r="G195" i="171"/>
  <c r="D195" i="171"/>
  <c r="T194" i="171"/>
  <c r="Q194" i="171"/>
  <c r="O194" i="171"/>
  <c r="G194" i="171"/>
  <c r="D194" i="171"/>
  <c r="T193" i="171"/>
  <c r="Q193" i="171"/>
  <c r="O193" i="171"/>
  <c r="G193" i="171"/>
  <c r="D193" i="171"/>
  <c r="T192" i="171"/>
  <c r="Q192" i="171"/>
  <c r="O192" i="171"/>
  <c r="G192" i="171"/>
  <c r="D192" i="171"/>
  <c r="T191" i="171"/>
  <c r="Q191" i="171"/>
  <c r="O191" i="171"/>
  <c r="G191" i="171"/>
  <c r="D191" i="171"/>
  <c r="T190" i="171"/>
  <c r="Q190" i="171"/>
  <c r="O190" i="171"/>
  <c r="G190" i="171"/>
  <c r="D190" i="171"/>
  <c r="T189" i="171"/>
  <c r="Q189" i="171"/>
  <c r="O189" i="171"/>
  <c r="G189" i="171"/>
  <c r="D189" i="171"/>
  <c r="T188" i="171"/>
  <c r="Q188" i="171"/>
  <c r="O188" i="171"/>
  <c r="G188" i="171"/>
  <c r="D188" i="171"/>
  <c r="T187" i="171"/>
  <c r="Q187" i="171"/>
  <c r="O187" i="171"/>
  <c r="G187" i="171"/>
  <c r="D187" i="171"/>
  <c r="T186" i="171"/>
  <c r="Q186" i="171"/>
  <c r="O186" i="171"/>
  <c r="G186" i="171"/>
  <c r="D186" i="171"/>
  <c r="T185" i="171"/>
  <c r="Q185" i="171"/>
  <c r="O185" i="171"/>
  <c r="G185" i="171"/>
  <c r="D185" i="171"/>
  <c r="T184" i="171"/>
  <c r="Q184" i="171"/>
  <c r="O184" i="171"/>
  <c r="G184" i="171"/>
  <c r="D184" i="171"/>
  <c r="T183" i="171"/>
  <c r="Q183" i="171"/>
  <c r="O183" i="171"/>
  <c r="G183" i="171"/>
  <c r="D183" i="171"/>
  <c r="T182" i="171"/>
  <c r="Q182" i="171"/>
  <c r="O182" i="171"/>
  <c r="G182" i="171"/>
  <c r="D182" i="171"/>
  <c r="Q181" i="171"/>
  <c r="G181" i="171"/>
  <c r="D181" i="171"/>
  <c r="Q180" i="171"/>
  <c r="G180" i="171"/>
  <c r="D180" i="171"/>
  <c r="Q179" i="171"/>
  <c r="G179" i="171"/>
  <c r="D179" i="171"/>
  <c r="Q178" i="171"/>
  <c r="G178" i="171"/>
  <c r="D178" i="171"/>
  <c r="Q177" i="171"/>
  <c r="G177" i="171"/>
  <c r="D177" i="171"/>
  <c r="Q176" i="171"/>
  <c r="G176" i="171"/>
  <c r="D176" i="171"/>
  <c r="Q175" i="171"/>
  <c r="G175" i="171"/>
  <c r="D175" i="171"/>
  <c r="Q174" i="171"/>
  <c r="G174" i="171"/>
  <c r="D174" i="171"/>
  <c r="Q173" i="171"/>
  <c r="G173" i="171"/>
  <c r="D173" i="171"/>
  <c r="Q172" i="171"/>
  <c r="G172" i="171"/>
  <c r="D172" i="171"/>
  <c r="Q171" i="171"/>
  <c r="G171" i="171"/>
  <c r="D171" i="171"/>
  <c r="Q170" i="171"/>
  <c r="G170" i="171"/>
  <c r="D170" i="171"/>
  <c r="Q169" i="171"/>
  <c r="G169" i="171"/>
  <c r="D169" i="171"/>
  <c r="Q168" i="171"/>
  <c r="G168" i="171"/>
  <c r="D168" i="171"/>
  <c r="Q167" i="171"/>
  <c r="G167" i="171"/>
  <c r="D167" i="171"/>
  <c r="Q166" i="171"/>
  <c r="G166" i="171"/>
  <c r="D166" i="171"/>
  <c r="Q165" i="171"/>
  <c r="G165" i="171"/>
  <c r="D165" i="171"/>
  <c r="Q164" i="171"/>
  <c r="G164" i="171"/>
  <c r="D164" i="171"/>
  <c r="W163" i="171"/>
  <c r="Q163" i="171"/>
  <c r="G163" i="171"/>
  <c r="D163" i="171"/>
  <c r="W162" i="171"/>
  <c r="Q162" i="171"/>
  <c r="G162" i="171"/>
  <c r="D162" i="171"/>
  <c r="W161" i="171"/>
  <c r="Q161" i="171"/>
  <c r="G161" i="171"/>
  <c r="D161" i="171"/>
  <c r="W160" i="171"/>
  <c r="Q160" i="171"/>
  <c r="G160" i="171"/>
  <c r="D160" i="171"/>
  <c r="W159" i="171"/>
  <c r="Q159" i="171"/>
  <c r="G159" i="171"/>
  <c r="D159" i="171"/>
  <c r="W158" i="171"/>
  <c r="Q158" i="171"/>
  <c r="G158" i="171"/>
  <c r="D158" i="171"/>
  <c r="W157" i="171"/>
  <c r="Q157" i="171"/>
  <c r="G157" i="171"/>
  <c r="D157" i="171"/>
  <c r="W156" i="171"/>
  <c r="Q156" i="171"/>
  <c r="G156" i="171"/>
  <c r="D156" i="171"/>
  <c r="W155" i="171"/>
  <c r="Q155" i="171"/>
  <c r="G155" i="171"/>
  <c r="D155" i="171"/>
  <c r="Q154" i="171"/>
  <c r="G154" i="171"/>
  <c r="D154" i="171"/>
  <c r="Q153" i="171"/>
  <c r="G153" i="171"/>
  <c r="D153" i="171"/>
  <c r="Q152" i="171"/>
  <c r="G152" i="171"/>
  <c r="D152" i="171"/>
  <c r="Q151" i="171"/>
  <c r="G151" i="171"/>
  <c r="D151" i="171"/>
  <c r="Q150" i="171"/>
  <c r="G150" i="171"/>
  <c r="D150" i="171"/>
  <c r="Q149" i="171"/>
  <c r="G149" i="171"/>
  <c r="D149" i="171"/>
  <c r="Q148" i="171"/>
  <c r="G148" i="171"/>
  <c r="D148" i="171"/>
  <c r="Q147" i="171"/>
  <c r="G147" i="171"/>
  <c r="D147" i="171"/>
  <c r="Q146" i="171"/>
  <c r="G146" i="171"/>
  <c r="D146" i="171"/>
  <c r="Q145" i="171"/>
  <c r="G145" i="171"/>
  <c r="D145" i="171"/>
  <c r="Q144" i="171"/>
  <c r="G144" i="171"/>
  <c r="D144" i="171"/>
  <c r="Q143" i="171"/>
  <c r="G143" i="171"/>
  <c r="D143" i="171"/>
  <c r="Q142" i="171"/>
  <c r="G142" i="171"/>
  <c r="D142" i="171"/>
  <c r="Q141" i="171"/>
  <c r="G141" i="171"/>
  <c r="D141" i="171"/>
  <c r="Q140" i="171"/>
  <c r="G140" i="171"/>
  <c r="D140" i="171"/>
  <c r="Q139" i="171"/>
  <c r="G139" i="171"/>
  <c r="D139" i="171"/>
  <c r="Q138" i="171"/>
  <c r="G138" i="171"/>
  <c r="D138" i="171"/>
  <c r="Q137" i="171"/>
  <c r="G137" i="171"/>
  <c r="D137" i="171"/>
  <c r="V136" i="171"/>
  <c r="U136" i="171"/>
  <c r="T136" i="171"/>
  <c r="Q136" i="171"/>
  <c r="O136" i="171"/>
  <c r="G136" i="171"/>
  <c r="D136" i="171"/>
  <c r="V135" i="171"/>
  <c r="U135" i="171"/>
  <c r="T135" i="171"/>
  <c r="Q135" i="171"/>
  <c r="O135" i="171"/>
  <c r="G135" i="171"/>
  <c r="D135" i="171"/>
  <c r="V134" i="171"/>
  <c r="U134" i="171"/>
  <c r="T134" i="171"/>
  <c r="Q134" i="171"/>
  <c r="O134" i="171"/>
  <c r="G134" i="171"/>
  <c r="D134" i="171"/>
  <c r="V133" i="171"/>
  <c r="U133" i="171"/>
  <c r="T133" i="171"/>
  <c r="Q133" i="171"/>
  <c r="O133" i="171"/>
  <c r="G133" i="171"/>
  <c r="D133" i="171"/>
  <c r="V132" i="171"/>
  <c r="U132" i="171"/>
  <c r="T132" i="171"/>
  <c r="Q132" i="171"/>
  <c r="O132" i="171"/>
  <c r="G132" i="171"/>
  <c r="D132" i="171"/>
  <c r="V131" i="171"/>
  <c r="U131" i="171"/>
  <c r="T131" i="171"/>
  <c r="Q131" i="171"/>
  <c r="O131" i="171"/>
  <c r="G131" i="171"/>
  <c r="D131" i="171"/>
  <c r="V130" i="171"/>
  <c r="U130" i="171"/>
  <c r="T130" i="171"/>
  <c r="Q130" i="171"/>
  <c r="P130" i="171"/>
  <c r="O130" i="171"/>
  <c r="G130" i="171"/>
  <c r="D130" i="171"/>
  <c r="V129" i="171"/>
  <c r="U129" i="171"/>
  <c r="T129" i="171"/>
  <c r="Q129" i="171"/>
  <c r="P129" i="171"/>
  <c r="O129" i="171"/>
  <c r="G129" i="171"/>
  <c r="D129" i="171"/>
  <c r="V128" i="171"/>
  <c r="U128" i="171"/>
  <c r="T128" i="171"/>
  <c r="Q128" i="171"/>
  <c r="P128" i="171"/>
  <c r="O128" i="171"/>
  <c r="G128" i="171"/>
  <c r="D128" i="171"/>
  <c r="V127" i="171"/>
  <c r="U127" i="171"/>
  <c r="T127" i="171"/>
  <c r="Q127" i="171"/>
  <c r="O127" i="171"/>
  <c r="G127" i="171"/>
  <c r="D127" i="171"/>
  <c r="V126" i="171"/>
  <c r="U126" i="171"/>
  <c r="T126" i="171"/>
  <c r="Q126" i="171"/>
  <c r="O126" i="171"/>
  <c r="G126" i="171"/>
  <c r="D126" i="171"/>
  <c r="V125" i="171"/>
  <c r="U125" i="171"/>
  <c r="T125" i="171"/>
  <c r="Q125" i="171"/>
  <c r="O125" i="171"/>
  <c r="G125" i="171"/>
  <c r="D125" i="171"/>
  <c r="V124" i="171"/>
  <c r="U124" i="171"/>
  <c r="T124" i="171"/>
  <c r="Q124" i="171"/>
  <c r="O124" i="171"/>
  <c r="G124" i="171"/>
  <c r="D124" i="171"/>
  <c r="V123" i="171"/>
  <c r="U123" i="171"/>
  <c r="T123" i="171"/>
  <c r="Q123" i="171"/>
  <c r="O123" i="171"/>
  <c r="G123" i="171"/>
  <c r="D123" i="171"/>
  <c r="V122" i="171"/>
  <c r="U122" i="171"/>
  <c r="T122" i="171"/>
  <c r="Q122" i="171"/>
  <c r="O122" i="171"/>
  <c r="G122" i="171"/>
  <c r="D122" i="171"/>
  <c r="V121" i="171"/>
  <c r="U121" i="171"/>
  <c r="T121" i="171"/>
  <c r="Q121" i="171"/>
  <c r="P121" i="171"/>
  <c r="O121" i="171"/>
  <c r="G121" i="171"/>
  <c r="D121" i="171"/>
  <c r="V120" i="171"/>
  <c r="U120" i="171"/>
  <c r="T120" i="171"/>
  <c r="Q120" i="171"/>
  <c r="P120" i="171"/>
  <c r="O120" i="171"/>
  <c r="G120" i="171"/>
  <c r="D120" i="171"/>
  <c r="V119" i="171"/>
  <c r="U119" i="171"/>
  <c r="T119" i="171"/>
  <c r="Q119" i="171"/>
  <c r="P119" i="171"/>
  <c r="O119" i="171"/>
  <c r="G119" i="171"/>
  <c r="D119" i="171"/>
  <c r="W118" i="171"/>
  <c r="V118" i="171"/>
  <c r="U118" i="171"/>
  <c r="T118" i="171"/>
  <c r="Q118" i="171"/>
  <c r="O118" i="171"/>
  <c r="G118" i="171"/>
  <c r="D118" i="171"/>
  <c r="W117" i="171"/>
  <c r="V117" i="171"/>
  <c r="U117" i="171"/>
  <c r="T117" i="171"/>
  <c r="Q117" i="171"/>
  <c r="O117" i="171"/>
  <c r="G117" i="171"/>
  <c r="D117" i="171"/>
  <c r="W116" i="171"/>
  <c r="V116" i="171"/>
  <c r="U116" i="171"/>
  <c r="T116" i="171"/>
  <c r="Q116" i="171"/>
  <c r="O116" i="171"/>
  <c r="G116" i="171"/>
  <c r="D116" i="171"/>
  <c r="W115" i="171"/>
  <c r="V115" i="171"/>
  <c r="U115" i="171"/>
  <c r="T115" i="171"/>
  <c r="Q115" i="171"/>
  <c r="O115" i="171"/>
  <c r="G115" i="171"/>
  <c r="D115" i="171"/>
  <c r="W114" i="171"/>
  <c r="V114" i="171"/>
  <c r="U114" i="171"/>
  <c r="T114" i="171"/>
  <c r="Q114" i="171"/>
  <c r="O114" i="171"/>
  <c r="G114" i="171"/>
  <c r="D114" i="171"/>
  <c r="W113" i="171"/>
  <c r="V113" i="171"/>
  <c r="U113" i="171"/>
  <c r="T113" i="171"/>
  <c r="Q113" i="171"/>
  <c r="O113" i="171"/>
  <c r="G113" i="171"/>
  <c r="D113" i="171"/>
  <c r="W112" i="171"/>
  <c r="V112" i="171"/>
  <c r="U112" i="171"/>
  <c r="T112" i="171"/>
  <c r="Q112" i="171"/>
  <c r="P112" i="171"/>
  <c r="O112" i="171"/>
  <c r="G112" i="171"/>
  <c r="D112" i="171"/>
  <c r="W111" i="171"/>
  <c r="V111" i="171"/>
  <c r="U111" i="171"/>
  <c r="T111" i="171"/>
  <c r="Q111" i="171"/>
  <c r="P111" i="171"/>
  <c r="O111" i="171"/>
  <c r="G111" i="171"/>
  <c r="D111" i="171"/>
  <c r="W110" i="171"/>
  <c r="V110" i="171"/>
  <c r="U110" i="171"/>
  <c r="T110" i="171"/>
  <c r="Q110" i="171"/>
  <c r="P110" i="171"/>
  <c r="O110" i="171"/>
  <c r="G110" i="171"/>
  <c r="D110" i="171"/>
  <c r="V109" i="171"/>
  <c r="U109" i="171"/>
  <c r="T109" i="171"/>
  <c r="Q109" i="171"/>
  <c r="O109" i="171"/>
  <c r="G109" i="171"/>
  <c r="D109" i="171"/>
  <c r="V108" i="171"/>
  <c r="U108" i="171"/>
  <c r="T108" i="171"/>
  <c r="Q108" i="171"/>
  <c r="O108" i="171"/>
  <c r="G108" i="171"/>
  <c r="D108" i="171"/>
  <c r="V107" i="171"/>
  <c r="U107" i="171"/>
  <c r="T107" i="171"/>
  <c r="Q107" i="171"/>
  <c r="O107" i="171"/>
  <c r="G107" i="171"/>
  <c r="D107" i="171"/>
  <c r="V106" i="171"/>
  <c r="U106" i="171"/>
  <c r="T106" i="171"/>
  <c r="Q106" i="171"/>
  <c r="O106" i="171"/>
  <c r="G106" i="171"/>
  <c r="D106" i="171"/>
  <c r="V105" i="171"/>
  <c r="U105" i="171"/>
  <c r="T105" i="171"/>
  <c r="Q105" i="171"/>
  <c r="O105" i="171"/>
  <c r="G105" i="171"/>
  <c r="D105" i="171"/>
  <c r="V104" i="171"/>
  <c r="U104" i="171"/>
  <c r="T104" i="171"/>
  <c r="Q104" i="171"/>
  <c r="O104" i="171"/>
  <c r="G104" i="171"/>
  <c r="D104" i="171"/>
  <c r="V103" i="171"/>
  <c r="U103" i="171"/>
  <c r="T103" i="171"/>
  <c r="Q103" i="171"/>
  <c r="P103" i="171"/>
  <c r="O103" i="171"/>
  <c r="G103" i="171"/>
  <c r="D103" i="171"/>
  <c r="V102" i="171"/>
  <c r="U102" i="171"/>
  <c r="T102" i="171"/>
  <c r="Q102" i="171"/>
  <c r="P102" i="171"/>
  <c r="O102" i="171"/>
  <c r="G102" i="171"/>
  <c r="D102" i="171"/>
  <c r="V101" i="171"/>
  <c r="U101" i="171"/>
  <c r="T101" i="171"/>
  <c r="Q101" i="171"/>
  <c r="P101" i="171"/>
  <c r="O101" i="171"/>
  <c r="G101" i="171"/>
  <c r="D101" i="171"/>
  <c r="V100" i="171"/>
  <c r="U100" i="171"/>
  <c r="T100" i="171"/>
  <c r="Q100" i="171"/>
  <c r="O100" i="171"/>
  <c r="G100" i="171"/>
  <c r="D100" i="171"/>
  <c r="V99" i="171"/>
  <c r="U99" i="171"/>
  <c r="T99" i="171"/>
  <c r="Q99" i="171"/>
  <c r="O99" i="171"/>
  <c r="G99" i="171"/>
  <c r="D99" i="171"/>
  <c r="V98" i="171"/>
  <c r="U98" i="171"/>
  <c r="T98" i="171"/>
  <c r="Q98" i="171"/>
  <c r="O98" i="171"/>
  <c r="G98" i="171"/>
  <c r="D98" i="171"/>
  <c r="V97" i="171"/>
  <c r="U97" i="171"/>
  <c r="T97" i="171"/>
  <c r="Q97" i="171"/>
  <c r="O97" i="171"/>
  <c r="G97" i="171"/>
  <c r="D97" i="171"/>
  <c r="V96" i="171"/>
  <c r="U96" i="171"/>
  <c r="T96" i="171"/>
  <c r="Q96" i="171"/>
  <c r="O96" i="171"/>
  <c r="G96" i="171"/>
  <c r="D96" i="171"/>
  <c r="V95" i="171"/>
  <c r="U95" i="171"/>
  <c r="T95" i="171"/>
  <c r="Q95" i="171"/>
  <c r="O95" i="171"/>
  <c r="G95" i="171"/>
  <c r="D95" i="171"/>
  <c r="V94" i="171"/>
  <c r="U94" i="171"/>
  <c r="T94" i="171"/>
  <c r="Q94" i="171"/>
  <c r="P94" i="171"/>
  <c r="O94" i="171"/>
  <c r="G94" i="171"/>
  <c r="D94" i="171"/>
  <c r="V93" i="171"/>
  <c r="U93" i="171"/>
  <c r="T93" i="171"/>
  <c r="Q93" i="171"/>
  <c r="P93" i="171"/>
  <c r="O93" i="171"/>
  <c r="G93" i="171"/>
  <c r="D93" i="171"/>
  <c r="V92" i="171"/>
  <c r="U92" i="171"/>
  <c r="T92" i="171"/>
  <c r="Q92" i="171"/>
  <c r="P92" i="171"/>
  <c r="O92" i="171"/>
  <c r="G92" i="171"/>
  <c r="D92" i="171"/>
  <c r="T91" i="171"/>
  <c r="Q91" i="171"/>
  <c r="O91" i="171"/>
  <c r="G91" i="171"/>
  <c r="D91" i="171"/>
  <c r="T90" i="171"/>
  <c r="Q90" i="171"/>
  <c r="O90" i="171"/>
  <c r="G90" i="171"/>
  <c r="D90" i="171"/>
  <c r="T89" i="171"/>
  <c r="Q89" i="171"/>
  <c r="O89" i="171"/>
  <c r="G89" i="171"/>
  <c r="D89" i="171"/>
  <c r="T88" i="171"/>
  <c r="Q88" i="171"/>
  <c r="O88" i="171"/>
  <c r="G88" i="171"/>
  <c r="D88" i="171"/>
  <c r="T87" i="171"/>
  <c r="Q87" i="171"/>
  <c r="O87" i="171"/>
  <c r="G87" i="171"/>
  <c r="D87" i="171"/>
  <c r="T86" i="171"/>
  <c r="Q86" i="171"/>
  <c r="O86" i="171"/>
  <c r="G86" i="171"/>
  <c r="D86" i="171"/>
  <c r="T85" i="171"/>
  <c r="Q85" i="171"/>
  <c r="P85" i="171"/>
  <c r="O85" i="171"/>
  <c r="G85" i="171"/>
  <c r="D85" i="171"/>
  <c r="T84" i="171"/>
  <c r="Q84" i="171"/>
  <c r="P84" i="171"/>
  <c r="O84" i="171"/>
  <c r="G84" i="171"/>
  <c r="D84" i="171"/>
  <c r="T83" i="171"/>
  <c r="Q83" i="171"/>
  <c r="P83" i="171"/>
  <c r="O83" i="171"/>
  <c r="G83" i="171"/>
  <c r="D83" i="171"/>
  <c r="T82" i="171"/>
  <c r="Q82" i="171"/>
  <c r="O82" i="171"/>
  <c r="G82" i="171"/>
  <c r="D82" i="171"/>
  <c r="T81" i="171"/>
  <c r="Q81" i="171"/>
  <c r="O81" i="171"/>
  <c r="G81" i="171"/>
  <c r="D81" i="171"/>
  <c r="T80" i="171"/>
  <c r="Q80" i="171"/>
  <c r="O80" i="171"/>
  <c r="G80" i="171"/>
  <c r="D80" i="171"/>
  <c r="T79" i="171"/>
  <c r="Q79" i="171"/>
  <c r="O79" i="171"/>
  <c r="G79" i="171"/>
  <c r="D79" i="171"/>
  <c r="T78" i="171"/>
  <c r="Q78" i="171"/>
  <c r="O78" i="171"/>
  <c r="G78" i="171"/>
  <c r="D78" i="171"/>
  <c r="T77" i="171"/>
  <c r="Q77" i="171"/>
  <c r="O77" i="171"/>
  <c r="G77" i="171"/>
  <c r="D77" i="171"/>
  <c r="T76" i="171"/>
  <c r="Q76" i="171"/>
  <c r="P76" i="171"/>
  <c r="O76" i="171"/>
  <c r="G76" i="171"/>
  <c r="D76" i="171"/>
  <c r="T75" i="171"/>
  <c r="Q75" i="171"/>
  <c r="P75" i="171"/>
  <c r="O75" i="171"/>
  <c r="G75" i="171"/>
  <c r="D75" i="171"/>
  <c r="T74" i="171"/>
  <c r="Q74" i="171"/>
  <c r="P74" i="171"/>
  <c r="O74" i="171"/>
  <c r="G74" i="171"/>
  <c r="D74" i="171"/>
  <c r="W73" i="171"/>
  <c r="T73" i="171"/>
  <c r="Q73" i="171"/>
  <c r="O73" i="171"/>
  <c r="G73" i="171"/>
  <c r="D73" i="171"/>
  <c r="W72" i="171"/>
  <c r="T72" i="171"/>
  <c r="Q72" i="171"/>
  <c r="O72" i="171"/>
  <c r="G72" i="171"/>
  <c r="D72" i="171"/>
  <c r="W71" i="171"/>
  <c r="T71" i="171"/>
  <c r="Q71" i="171"/>
  <c r="O71" i="171"/>
  <c r="G71" i="171"/>
  <c r="D71" i="171"/>
  <c r="W70" i="171"/>
  <c r="T70" i="171"/>
  <c r="Q70" i="171"/>
  <c r="O70" i="171"/>
  <c r="G70" i="171"/>
  <c r="D70" i="171"/>
  <c r="W69" i="171"/>
  <c r="T69" i="171"/>
  <c r="Q69" i="171"/>
  <c r="O69" i="171"/>
  <c r="G69" i="171"/>
  <c r="D69" i="171"/>
  <c r="W68" i="171"/>
  <c r="T68" i="171"/>
  <c r="Q68" i="171"/>
  <c r="P68" i="171"/>
  <c r="O68" i="171"/>
  <c r="G68" i="171"/>
  <c r="D68" i="171"/>
  <c r="W67" i="171"/>
  <c r="T67" i="171"/>
  <c r="Q67" i="171"/>
  <c r="O67" i="171"/>
  <c r="G67" i="171"/>
  <c r="D67" i="171"/>
  <c r="W66" i="171"/>
  <c r="T66" i="171"/>
  <c r="Q66" i="171"/>
  <c r="P66" i="171"/>
  <c r="O66" i="171"/>
  <c r="G66" i="171"/>
  <c r="D66" i="171"/>
  <c r="W65" i="171"/>
  <c r="T65" i="171"/>
  <c r="Q65" i="171"/>
  <c r="P65" i="171"/>
  <c r="O65" i="171"/>
  <c r="G65" i="171"/>
  <c r="D65" i="171"/>
  <c r="T64" i="171"/>
  <c r="Q64" i="171"/>
  <c r="O64" i="171"/>
  <c r="G64" i="171"/>
  <c r="D64" i="171"/>
  <c r="T63" i="171"/>
  <c r="Q63" i="171"/>
  <c r="O63" i="171"/>
  <c r="G63" i="171"/>
  <c r="D63" i="171"/>
  <c r="T62" i="171"/>
  <c r="Q62" i="171"/>
  <c r="O62" i="171"/>
  <c r="G62" i="171"/>
  <c r="D62" i="171"/>
  <c r="T61" i="171"/>
  <c r="Q61" i="171"/>
  <c r="O61" i="171"/>
  <c r="G61" i="171"/>
  <c r="D61" i="171"/>
  <c r="T60" i="171"/>
  <c r="Q60" i="171"/>
  <c r="O60" i="171"/>
  <c r="G60" i="171"/>
  <c r="D60" i="171"/>
  <c r="T59" i="171"/>
  <c r="Q59" i="171"/>
  <c r="O59" i="171"/>
  <c r="G59" i="171"/>
  <c r="D59" i="171"/>
  <c r="T58" i="171"/>
  <c r="Q58" i="171"/>
  <c r="P58" i="171"/>
  <c r="O58" i="171"/>
  <c r="G58" i="171"/>
  <c r="D58" i="171"/>
  <c r="T57" i="171"/>
  <c r="Q57" i="171"/>
  <c r="P57" i="171"/>
  <c r="O57" i="171"/>
  <c r="G57" i="171"/>
  <c r="D57" i="171"/>
  <c r="T56" i="171"/>
  <c r="Q56" i="171"/>
  <c r="P56" i="171"/>
  <c r="O56" i="171"/>
  <c r="G56" i="171"/>
  <c r="D56" i="171"/>
  <c r="T55" i="171"/>
  <c r="Q55" i="171"/>
  <c r="O55" i="171"/>
  <c r="G55" i="171"/>
  <c r="D55" i="171"/>
  <c r="T54" i="171"/>
  <c r="Q54" i="171"/>
  <c r="O54" i="171"/>
  <c r="G54" i="171"/>
  <c r="D54" i="171"/>
  <c r="T53" i="171"/>
  <c r="Q53" i="171"/>
  <c r="O53" i="171"/>
  <c r="G53" i="171"/>
  <c r="D53" i="171"/>
  <c r="T52" i="171"/>
  <c r="Q52" i="171"/>
  <c r="O52" i="171"/>
  <c r="G52" i="171"/>
  <c r="D52" i="171"/>
  <c r="T51" i="171"/>
  <c r="Q51" i="171"/>
  <c r="O51" i="171"/>
  <c r="G51" i="171"/>
  <c r="D51" i="171"/>
  <c r="T50" i="171"/>
  <c r="Q50" i="171"/>
  <c r="O50" i="171"/>
  <c r="G50" i="171"/>
  <c r="D50" i="171"/>
  <c r="T49" i="171"/>
  <c r="Q49" i="171"/>
  <c r="P49" i="171"/>
  <c r="O49" i="171"/>
  <c r="G49" i="171"/>
  <c r="D49" i="171"/>
  <c r="T48" i="171"/>
  <c r="Q48" i="171"/>
  <c r="P48" i="171"/>
  <c r="O48" i="171"/>
  <c r="G48" i="171"/>
  <c r="D48" i="171"/>
  <c r="T47" i="171"/>
  <c r="Q47" i="171"/>
  <c r="P47" i="171"/>
  <c r="O47" i="171"/>
  <c r="G47" i="171"/>
  <c r="D47" i="171"/>
  <c r="Q46" i="171"/>
  <c r="G46" i="171"/>
  <c r="D46" i="171"/>
  <c r="Q45" i="171"/>
  <c r="G45" i="171"/>
  <c r="D45" i="171"/>
  <c r="Q44" i="171"/>
  <c r="G44" i="171"/>
  <c r="D44" i="171"/>
  <c r="Q43" i="171"/>
  <c r="G43" i="171"/>
  <c r="D43" i="171"/>
  <c r="Q42" i="171"/>
  <c r="G42" i="171"/>
  <c r="D42" i="171"/>
  <c r="Q41" i="171"/>
  <c r="P41" i="171"/>
  <c r="G41" i="171"/>
  <c r="D41" i="171"/>
  <c r="Q40" i="171"/>
  <c r="P40" i="171"/>
  <c r="G40" i="171"/>
  <c r="D40" i="171"/>
  <c r="Q39" i="171"/>
  <c r="P39" i="171"/>
  <c r="G39" i="171"/>
  <c r="D39" i="171"/>
  <c r="Q38" i="171"/>
  <c r="P38" i="171"/>
  <c r="G38" i="171"/>
  <c r="D38" i="171"/>
  <c r="Q37" i="171"/>
  <c r="G37" i="171"/>
  <c r="D37" i="171"/>
  <c r="Q36" i="171"/>
  <c r="G36" i="171"/>
  <c r="D36" i="171"/>
  <c r="Q35" i="171"/>
  <c r="G35" i="171"/>
  <c r="D35" i="171"/>
  <c r="Q34" i="171"/>
  <c r="G34" i="171"/>
  <c r="D34" i="171"/>
  <c r="Q33" i="171"/>
  <c r="G33" i="171"/>
  <c r="D33" i="171"/>
  <c r="Q32" i="171"/>
  <c r="G32" i="171"/>
  <c r="D32" i="171"/>
  <c r="Q31" i="171"/>
  <c r="P31" i="171"/>
  <c r="G31" i="171"/>
  <c r="D31" i="171"/>
  <c r="Q30" i="171"/>
  <c r="P30" i="171"/>
  <c r="G30" i="171"/>
  <c r="D30" i="171"/>
  <c r="Q29" i="171"/>
  <c r="P29" i="171"/>
  <c r="G29" i="171"/>
  <c r="D29" i="171"/>
  <c r="W28" i="171"/>
  <c r="Q28" i="171"/>
  <c r="G28" i="171"/>
  <c r="D28" i="171"/>
  <c r="W27" i="171"/>
  <c r="Q27" i="171"/>
  <c r="G27" i="171"/>
  <c r="D27" i="171"/>
  <c r="W26" i="171"/>
  <c r="Q26" i="171"/>
  <c r="G26" i="171"/>
  <c r="D26" i="171"/>
  <c r="W25" i="171"/>
  <c r="Q25" i="171"/>
  <c r="G25" i="171"/>
  <c r="D25" i="171"/>
  <c r="W24" i="171"/>
  <c r="Q24" i="171"/>
  <c r="G24" i="171"/>
  <c r="D24" i="171"/>
  <c r="W23" i="171"/>
  <c r="Q23" i="171"/>
  <c r="P23" i="171"/>
  <c r="G23" i="171"/>
  <c r="D23" i="171"/>
  <c r="W22" i="171"/>
  <c r="Q22" i="171"/>
  <c r="P22" i="171"/>
  <c r="G22" i="171"/>
  <c r="D22" i="171"/>
  <c r="W21" i="171"/>
  <c r="Q21" i="171"/>
  <c r="P21" i="171"/>
  <c r="G21" i="171"/>
  <c r="D21" i="171"/>
  <c r="W20" i="171"/>
  <c r="Q20" i="171"/>
  <c r="P20" i="171"/>
  <c r="G20" i="171"/>
  <c r="D20" i="171"/>
  <c r="Q19" i="171"/>
  <c r="G19" i="171"/>
  <c r="D19" i="171"/>
  <c r="Q18" i="171"/>
  <c r="G18" i="171"/>
  <c r="D18" i="171"/>
  <c r="Q17" i="171"/>
  <c r="G17" i="171"/>
  <c r="D17" i="171"/>
  <c r="Q16" i="171"/>
  <c r="G16" i="171"/>
  <c r="D16" i="171"/>
  <c r="Q15" i="171"/>
  <c r="G15" i="171"/>
  <c r="D15" i="171"/>
  <c r="Q14" i="171"/>
  <c r="P14" i="171"/>
  <c r="G14" i="171"/>
  <c r="D14" i="171"/>
  <c r="Q13" i="171"/>
  <c r="P13" i="171"/>
  <c r="G13" i="171"/>
  <c r="D13" i="171"/>
  <c r="Q12" i="171"/>
  <c r="P12" i="171"/>
  <c r="G12" i="171"/>
  <c r="D12" i="171"/>
  <c r="Q11" i="171"/>
  <c r="P11" i="171"/>
  <c r="G11" i="171"/>
  <c r="D11" i="171"/>
  <c r="Q10" i="171"/>
  <c r="G10" i="171"/>
  <c r="D10" i="171"/>
  <c r="Q9" i="171"/>
  <c r="G9" i="171"/>
  <c r="D9" i="171"/>
  <c r="Q8" i="171"/>
  <c r="G8" i="171"/>
  <c r="D8" i="171"/>
  <c r="Q7" i="171"/>
  <c r="G7" i="171"/>
  <c r="D7" i="171"/>
  <c r="Q6" i="171"/>
  <c r="G6" i="171"/>
  <c r="D6" i="171"/>
  <c r="Q5" i="171"/>
  <c r="P5" i="171"/>
  <c r="G5" i="171"/>
  <c r="D5" i="171"/>
  <c r="Q4" i="171"/>
  <c r="P4" i="171"/>
  <c r="G4" i="171"/>
  <c r="D4" i="171"/>
  <c r="Q3" i="171"/>
  <c r="P3" i="171"/>
  <c r="G3" i="171"/>
  <c r="D3" i="171"/>
  <c r="Q2" i="171"/>
  <c r="P2" i="171"/>
  <c r="G2" i="171"/>
  <c r="D2" i="171"/>
  <c r="AQ121" i="170"/>
  <c r="AQ120" i="170"/>
  <c r="AQ119" i="170"/>
  <c r="AQ118" i="170"/>
  <c r="AQ117" i="170"/>
  <c r="AQ116" i="170"/>
  <c r="AQ115" i="170"/>
  <c r="AQ114" i="170"/>
  <c r="AQ113" i="170"/>
  <c r="AQ112" i="170"/>
  <c r="AQ108" i="170"/>
  <c r="AQ107" i="170"/>
  <c r="AQ106" i="170"/>
  <c r="AQ105" i="170"/>
  <c r="AQ104" i="170"/>
  <c r="AQ103" i="170"/>
  <c r="AQ102" i="170"/>
  <c r="AQ101" i="170"/>
  <c r="AQ100" i="170"/>
  <c r="AQ99" i="170"/>
  <c r="AR95" i="170"/>
  <c r="AQ95" i="170"/>
  <c r="AR94" i="170"/>
  <c r="AQ94" i="170"/>
  <c r="AR93" i="170"/>
  <c r="AQ93" i="170" s="1"/>
  <c r="AR92" i="170"/>
  <c r="AQ92" i="170" s="1"/>
  <c r="AR91" i="170"/>
  <c r="AQ91" i="170"/>
  <c r="AR90" i="170"/>
  <c r="AQ90" i="170"/>
  <c r="AR89" i="170"/>
  <c r="AQ89" i="170" s="1"/>
  <c r="AR88" i="170"/>
  <c r="AQ88" i="170" s="1"/>
  <c r="AR87" i="170"/>
  <c r="AQ87" i="170"/>
  <c r="AR86" i="170"/>
  <c r="AQ86" i="170"/>
  <c r="AR82" i="170"/>
  <c r="AQ82" i="170" s="1"/>
  <c r="AR81" i="170"/>
  <c r="AQ81" i="170" s="1"/>
  <c r="AR80" i="170"/>
  <c r="AQ80" i="170"/>
  <c r="AR79" i="170"/>
  <c r="AQ79" i="170"/>
  <c r="AR78" i="170"/>
  <c r="AQ78" i="170" s="1"/>
  <c r="AR77" i="170"/>
  <c r="AQ77" i="170" s="1"/>
  <c r="AF77" i="170"/>
  <c r="AR76" i="170"/>
  <c r="AQ76" i="170" s="1"/>
  <c r="AF76" i="170"/>
  <c r="AR75" i="170"/>
  <c r="AQ75" i="170" s="1"/>
  <c r="AF75" i="170"/>
  <c r="AR74" i="170"/>
  <c r="AQ74" i="170"/>
  <c r="AF74" i="170"/>
  <c r="AR73" i="170"/>
  <c r="AQ73" i="170"/>
  <c r="AF73" i="170"/>
  <c r="AF72" i="170"/>
  <c r="AF71" i="170"/>
  <c r="AF70" i="170"/>
  <c r="AQ69" i="170"/>
  <c r="AF69" i="170"/>
  <c r="AQ68" i="170"/>
  <c r="AF68" i="170"/>
  <c r="AQ67" i="170"/>
  <c r="AF67" i="170"/>
  <c r="AQ66" i="170"/>
  <c r="AF66" i="170"/>
  <c r="AQ65" i="170"/>
  <c r="AF65" i="170"/>
  <c r="AQ64" i="170"/>
  <c r="AF64" i="170"/>
  <c r="AQ63" i="170"/>
  <c r="AF63" i="170"/>
  <c r="AQ62" i="170"/>
  <c r="AF62" i="170"/>
  <c r="AQ61" i="170"/>
  <c r="AF61" i="170"/>
  <c r="AQ60" i="170"/>
  <c r="AF60" i="170"/>
  <c r="AF59" i="170"/>
  <c r="AF58" i="170"/>
  <c r="AF57" i="170"/>
  <c r="AQ56" i="170"/>
  <c r="AF56" i="170"/>
  <c r="AQ55" i="170"/>
  <c r="AF55" i="170"/>
  <c r="AQ54" i="170"/>
  <c r="AF54" i="170"/>
  <c r="AX53" i="170"/>
  <c r="AQ53" i="170"/>
  <c r="AF53" i="170"/>
  <c r="AQ52" i="170"/>
  <c r="AF52" i="170"/>
  <c r="AQ51" i="170"/>
  <c r="AF51" i="170"/>
  <c r="AQ50" i="170"/>
  <c r="AF50" i="170"/>
  <c r="AQ49" i="170"/>
  <c r="AF49" i="170"/>
  <c r="AQ48" i="170"/>
  <c r="AF48" i="170"/>
  <c r="AQ47" i="170"/>
  <c r="AF47" i="170"/>
  <c r="AF46" i="170"/>
  <c r="AF45" i="170"/>
  <c r="T45" i="170"/>
  <c r="AF44" i="170"/>
  <c r="T44" i="170"/>
  <c r="AQ43" i="170"/>
  <c r="AF43" i="170"/>
  <c r="T43" i="170"/>
  <c r="AQ42" i="170"/>
  <c r="AF42" i="170"/>
  <c r="T42" i="170"/>
  <c r="AQ41" i="170"/>
  <c r="AF41" i="170"/>
  <c r="T41" i="170"/>
  <c r="AQ40" i="170"/>
  <c r="AF40" i="170"/>
  <c r="T40" i="170"/>
  <c r="AQ39" i="170"/>
  <c r="AF39" i="170"/>
  <c r="T39" i="170"/>
  <c r="AQ38" i="170"/>
  <c r="AF38" i="170"/>
  <c r="T38" i="170"/>
  <c r="AQ37" i="170"/>
  <c r="AF37" i="170"/>
  <c r="T37" i="170"/>
  <c r="AQ36" i="170"/>
  <c r="AF36" i="170"/>
  <c r="T36" i="170"/>
  <c r="AQ35" i="170"/>
  <c r="AF35" i="170"/>
  <c r="AQ34" i="170"/>
  <c r="AF34" i="170"/>
  <c r="AF33" i="170"/>
  <c r="T33" i="170"/>
  <c r="AF32" i="170"/>
  <c r="T32" i="170"/>
  <c r="AF31" i="170"/>
  <c r="T31" i="170"/>
  <c r="AQ30" i="170"/>
  <c r="AF30" i="170"/>
  <c r="T30" i="170"/>
  <c r="AQ29" i="170"/>
  <c r="AF29" i="170"/>
  <c r="T29" i="170"/>
  <c r="AQ28" i="170"/>
  <c r="AF28" i="170"/>
  <c r="T28" i="170"/>
  <c r="AQ27" i="170"/>
  <c r="AF27" i="170"/>
  <c r="T27" i="170"/>
  <c r="AQ26" i="170"/>
  <c r="AF26" i="170"/>
  <c r="T26" i="170"/>
  <c r="AQ25" i="170"/>
  <c r="AF25" i="170"/>
  <c r="T25" i="170"/>
  <c r="AQ24" i="170"/>
  <c r="AF24" i="170"/>
  <c r="T24" i="170"/>
  <c r="AQ23" i="170"/>
  <c r="AF23" i="170"/>
  <c r="T23" i="170"/>
  <c r="AQ22" i="170"/>
  <c r="AF22" i="170"/>
  <c r="AQ21" i="170"/>
  <c r="AF21" i="170"/>
  <c r="AF20" i="170"/>
  <c r="T20" i="170"/>
  <c r="AF19" i="170"/>
  <c r="T19" i="170"/>
  <c r="AF18" i="170"/>
  <c r="T18" i="170"/>
  <c r="AQ16" i="170"/>
  <c r="AF16" i="170"/>
  <c r="T16" i="170"/>
  <c r="AQ15" i="170"/>
  <c r="AF15" i="170"/>
  <c r="AQ14" i="170"/>
  <c r="AF14" i="170"/>
  <c r="AQ13" i="170"/>
  <c r="AF13" i="170"/>
  <c r="T13" i="170"/>
  <c r="AQ12" i="170"/>
  <c r="AF12" i="170"/>
  <c r="T12" i="170"/>
  <c r="AQ11" i="170"/>
  <c r="AF11" i="170"/>
  <c r="T11" i="170"/>
  <c r="AQ10" i="170"/>
  <c r="AG10" i="170"/>
  <c r="AF10" i="170"/>
  <c r="T10" i="170"/>
  <c r="AQ9" i="170"/>
  <c r="AG9" i="170"/>
  <c r="AF9" i="170"/>
  <c r="T9" i="170"/>
  <c r="AQ8" i="170"/>
  <c r="AG8" i="170"/>
  <c r="AF8" i="170"/>
  <c r="T8" i="170"/>
  <c r="AQ7" i="170"/>
  <c r="AG7" i="170"/>
  <c r="AF7" i="170"/>
  <c r="T7" i="170"/>
  <c r="AG6" i="170"/>
  <c r="AF6" i="170"/>
  <c r="T6" i="170"/>
  <c r="AG5" i="170"/>
  <c r="AF5" i="170"/>
  <c r="T5" i="170"/>
  <c r="L46" i="169"/>
  <c r="N46" i="169" s="1"/>
  <c r="L45" i="169"/>
  <c r="N45" i="169" s="1"/>
  <c r="L44" i="169"/>
  <c r="N44" i="169" s="1"/>
  <c r="L43" i="169"/>
  <c r="N43" i="169" s="1"/>
  <c r="L42" i="169"/>
  <c r="N42" i="169" s="1"/>
  <c r="L41" i="169"/>
  <c r="N41" i="169" s="1"/>
  <c r="L40" i="169"/>
  <c r="N40" i="169" s="1"/>
  <c r="L39" i="169"/>
  <c r="N39" i="169" s="1"/>
  <c r="L38" i="169"/>
  <c r="N38" i="169" s="1"/>
  <c r="K38" i="169"/>
  <c r="L37" i="169"/>
  <c r="N37" i="169" s="1"/>
  <c r="K37" i="169"/>
  <c r="K36" i="169"/>
  <c r="L36" i="169" s="1"/>
  <c r="N32" i="169"/>
  <c r="L32" i="169"/>
  <c r="L31" i="169"/>
  <c r="N31" i="169" s="1"/>
  <c r="N30" i="169"/>
  <c r="L30" i="169"/>
  <c r="L29" i="169"/>
  <c r="N29" i="169" s="1"/>
  <c r="N28" i="169"/>
  <c r="L28" i="169"/>
  <c r="L27" i="169"/>
  <c r="N27" i="169" s="1"/>
  <c r="N26" i="169"/>
  <c r="L26" i="169"/>
  <c r="L25" i="169"/>
  <c r="N25" i="169" s="1"/>
  <c r="N24" i="169"/>
  <c r="L24" i="169"/>
  <c r="L23" i="169"/>
  <c r="N23" i="169" s="1"/>
  <c r="N22" i="169"/>
  <c r="L22" i="169"/>
  <c r="L21" i="169"/>
  <c r="N21" i="169" s="1"/>
  <c r="N20" i="169"/>
  <c r="L20" i="169"/>
  <c r="L19" i="169"/>
  <c r="N19" i="169" s="1"/>
  <c r="N18" i="169"/>
  <c r="L18" i="169"/>
  <c r="L17" i="169"/>
  <c r="N17" i="169" s="1"/>
  <c r="N16" i="169"/>
  <c r="L16" i="169"/>
  <c r="L15" i="169"/>
  <c r="N15" i="169" s="1"/>
  <c r="N14" i="169"/>
  <c r="L14" i="169"/>
  <c r="L12" i="169" s="1"/>
  <c r="J12" i="169"/>
  <c r="I12" i="169"/>
  <c r="H12" i="169"/>
  <c r="F12" i="169"/>
  <c r="I7" i="169"/>
  <c r="I5" i="169"/>
  <c r="E5" i="169"/>
  <c r="I3" i="169"/>
  <c r="E3" i="169"/>
  <c r="M46" i="168"/>
  <c r="K46" i="168"/>
  <c r="K45" i="168"/>
  <c r="M45" i="168" s="1"/>
  <c r="M44" i="168"/>
  <c r="K44" i="168"/>
  <c r="K43" i="168"/>
  <c r="M43" i="168" s="1"/>
  <c r="M42" i="168"/>
  <c r="K42" i="168"/>
  <c r="K41" i="168"/>
  <c r="M41" i="168" s="1"/>
  <c r="M40" i="168"/>
  <c r="K40" i="168"/>
  <c r="K39" i="168"/>
  <c r="M39" i="168" s="1"/>
  <c r="J38" i="168"/>
  <c r="K38" i="168" s="1"/>
  <c r="M38" i="168" s="1"/>
  <c r="J37" i="168"/>
  <c r="K37" i="168" s="1"/>
  <c r="M37" i="168" s="1"/>
  <c r="J36" i="168"/>
  <c r="K36" i="168" s="1"/>
  <c r="K32" i="168"/>
  <c r="M32" i="168" s="1"/>
  <c r="M31" i="168"/>
  <c r="K31" i="168"/>
  <c r="K30" i="168"/>
  <c r="M30" i="168" s="1"/>
  <c r="J30" i="168"/>
  <c r="N29" i="168"/>
  <c r="K29" i="168"/>
  <c r="M29" i="168" s="1"/>
  <c r="O29" i="168" s="1"/>
  <c r="J28" i="168"/>
  <c r="K28" i="168" s="1"/>
  <c r="O27" i="168"/>
  <c r="M27" i="168"/>
  <c r="N27" i="168" s="1"/>
  <c r="K27" i="168"/>
  <c r="K26" i="168"/>
  <c r="M26" i="168" s="1"/>
  <c r="O25" i="168"/>
  <c r="M25" i="168"/>
  <c r="N25" i="168" s="1"/>
  <c r="K25" i="168"/>
  <c r="K24" i="168"/>
  <c r="M24" i="168" s="1"/>
  <c r="O23" i="168"/>
  <c r="M23" i="168"/>
  <c r="N23" i="168" s="1"/>
  <c r="K23" i="168"/>
  <c r="K22" i="168"/>
  <c r="M22" i="168" s="1"/>
  <c r="O21" i="168"/>
  <c r="M21" i="168"/>
  <c r="N21" i="168" s="1"/>
  <c r="K21" i="168"/>
  <c r="K20" i="168"/>
  <c r="M20" i="168" s="1"/>
  <c r="O19" i="168"/>
  <c r="M19" i="168"/>
  <c r="N19" i="168" s="1"/>
  <c r="K19" i="168"/>
  <c r="K18" i="168"/>
  <c r="M18" i="168" s="1"/>
  <c r="O17" i="168"/>
  <c r="M17" i="168"/>
  <c r="N17" i="168" s="1"/>
  <c r="K17" i="168"/>
  <c r="K16" i="168"/>
  <c r="M16" i="168" s="1"/>
  <c r="O15" i="168"/>
  <c r="M15" i="168"/>
  <c r="N15" i="168" s="1"/>
  <c r="K15" i="168"/>
  <c r="K14" i="168"/>
  <c r="M14" i="168" s="1"/>
  <c r="L12" i="168"/>
  <c r="I12" i="168"/>
  <c r="G12" i="168" s="1"/>
  <c r="E12" i="168"/>
  <c r="H12" i="168" s="1"/>
  <c r="E9" i="168"/>
  <c r="O7" i="168"/>
  <c r="H7" i="168"/>
  <c r="D7" i="168"/>
  <c r="H5" i="168"/>
  <c r="D5" i="168"/>
  <c r="H3" i="168"/>
  <c r="D3" i="168"/>
  <c r="M37" i="167"/>
  <c r="K37" i="167"/>
  <c r="M36" i="167"/>
  <c r="O36" i="167" s="1"/>
  <c r="K36" i="167"/>
  <c r="M35" i="167"/>
  <c r="K35" i="167"/>
  <c r="M34" i="167"/>
  <c r="O34" i="167" s="1"/>
  <c r="K34" i="167"/>
  <c r="M33" i="167"/>
  <c r="K33" i="167"/>
  <c r="M32" i="167"/>
  <c r="O32" i="167" s="1"/>
  <c r="K32" i="167"/>
  <c r="M31" i="167"/>
  <c r="K31" i="167"/>
  <c r="M30" i="167"/>
  <c r="O30" i="167" s="1"/>
  <c r="K30" i="167"/>
  <c r="J29" i="167"/>
  <c r="K29" i="167" s="1"/>
  <c r="M29" i="167" s="1"/>
  <c r="J28" i="167"/>
  <c r="K28" i="167" s="1"/>
  <c r="M28" i="167" s="1"/>
  <c r="J27" i="167"/>
  <c r="K27" i="167" s="1"/>
  <c r="M23" i="167"/>
  <c r="O23" i="167" s="1"/>
  <c r="K23" i="167"/>
  <c r="M22" i="167"/>
  <c r="K22" i="167"/>
  <c r="M21" i="167"/>
  <c r="O21" i="167" s="1"/>
  <c r="K21" i="167"/>
  <c r="M20" i="167"/>
  <c r="K20" i="167"/>
  <c r="M19" i="167"/>
  <c r="O19" i="167" s="1"/>
  <c r="K19" i="167"/>
  <c r="M18" i="167"/>
  <c r="K18" i="167"/>
  <c r="M17" i="167"/>
  <c r="O17" i="167" s="1"/>
  <c r="K17" i="167"/>
  <c r="M16" i="167"/>
  <c r="K16" i="167"/>
  <c r="M15" i="167"/>
  <c r="O15" i="167" s="1"/>
  <c r="K15" i="167"/>
  <c r="M14" i="167"/>
  <c r="K14" i="167"/>
  <c r="K12" i="167" s="1"/>
  <c r="L12" i="167"/>
  <c r="I12" i="167"/>
  <c r="H12" i="167"/>
  <c r="G12" i="167"/>
  <c r="E12" i="167"/>
  <c r="E9" i="167"/>
  <c r="O7" i="167"/>
  <c r="H7" i="167"/>
  <c r="D7" i="167"/>
  <c r="H5" i="167"/>
  <c r="D5" i="167"/>
  <c r="H3" i="167"/>
  <c r="D3" i="167"/>
  <c r="L62" i="166"/>
  <c r="J62" i="166"/>
  <c r="K62" i="166" s="1"/>
  <c r="H62" i="166"/>
  <c r="H61" i="166"/>
  <c r="J61" i="166" s="1"/>
  <c r="L60" i="166"/>
  <c r="J60" i="166"/>
  <c r="K60" i="166" s="1"/>
  <c r="H60" i="166"/>
  <c r="L59" i="166"/>
  <c r="H59" i="166"/>
  <c r="J59" i="166" s="1"/>
  <c r="K59" i="166" s="1"/>
  <c r="L58" i="166"/>
  <c r="J58" i="166"/>
  <c r="K58" i="166" s="1"/>
  <c r="H58" i="166"/>
  <c r="L57" i="166"/>
  <c r="H57" i="166"/>
  <c r="J57" i="166" s="1"/>
  <c r="K57" i="166" s="1"/>
  <c r="L56" i="166"/>
  <c r="J56" i="166"/>
  <c r="K56" i="166" s="1"/>
  <c r="H56" i="166"/>
  <c r="L55" i="166"/>
  <c r="H55" i="166"/>
  <c r="J55" i="166" s="1"/>
  <c r="K55" i="166" s="1"/>
  <c r="L54" i="166"/>
  <c r="J54" i="166"/>
  <c r="K54" i="166" s="1"/>
  <c r="H54" i="166"/>
  <c r="H53" i="166"/>
  <c r="J53" i="166" s="1"/>
  <c r="H52" i="166"/>
  <c r="H50" i="166"/>
  <c r="J50" i="166" s="1"/>
  <c r="K50" i="166" s="1"/>
  <c r="L50" i="166" s="1"/>
  <c r="H49" i="166"/>
  <c r="J49" i="166" s="1"/>
  <c r="K49" i="166" s="1"/>
  <c r="L49" i="166" s="1"/>
  <c r="H48" i="166"/>
  <c r="J48" i="166" s="1"/>
  <c r="K48" i="166" s="1"/>
  <c r="L48" i="166" s="1"/>
  <c r="H47" i="166"/>
  <c r="J47" i="166" s="1"/>
  <c r="K47" i="166" s="1"/>
  <c r="L47" i="166" s="1"/>
  <c r="H46" i="166"/>
  <c r="J46" i="166" s="1"/>
  <c r="K46" i="166" s="1"/>
  <c r="L46" i="166" s="1"/>
  <c r="H45" i="166"/>
  <c r="J45" i="166" s="1"/>
  <c r="K45" i="166" s="1"/>
  <c r="L45" i="166" s="1"/>
  <c r="L44" i="166"/>
  <c r="H44" i="166"/>
  <c r="J44" i="166" s="1"/>
  <c r="K44" i="166" s="1"/>
  <c r="H43" i="166"/>
  <c r="J43" i="166" s="1"/>
  <c r="K43" i="166" s="1"/>
  <c r="L43" i="166" s="1"/>
  <c r="H42" i="166"/>
  <c r="J42" i="166" s="1"/>
  <c r="K42" i="166" s="1"/>
  <c r="L42" i="166" s="1"/>
  <c r="H41" i="166"/>
  <c r="J41" i="166" s="1"/>
  <c r="K41" i="166" s="1"/>
  <c r="L41" i="166" s="1"/>
  <c r="L40" i="166"/>
  <c r="H40" i="166"/>
  <c r="J40" i="166" s="1"/>
  <c r="K40" i="166" s="1"/>
  <c r="H39" i="166"/>
  <c r="J39" i="166" s="1"/>
  <c r="K39" i="166" s="1"/>
  <c r="L39" i="166" s="1"/>
  <c r="H37" i="166"/>
  <c r="J37" i="166" s="1"/>
  <c r="K37" i="166" s="1"/>
  <c r="L37" i="166" s="1"/>
  <c r="H36" i="166"/>
  <c r="J36" i="166" s="1"/>
  <c r="K36" i="166" s="1"/>
  <c r="L36" i="166" s="1"/>
  <c r="L35" i="166"/>
  <c r="H35" i="166"/>
  <c r="J35" i="166" s="1"/>
  <c r="K35" i="166" s="1"/>
  <c r="J33" i="166"/>
  <c r="K33" i="166" s="1"/>
  <c r="L33" i="166" s="1"/>
  <c r="G33" i="166"/>
  <c r="H33" i="166" s="1"/>
  <c r="G32" i="166"/>
  <c r="H32" i="166" s="1"/>
  <c r="J32" i="166" s="1"/>
  <c r="K32" i="166" s="1"/>
  <c r="L32" i="166" s="1"/>
  <c r="J31" i="166"/>
  <c r="K31" i="166" s="1"/>
  <c r="L31" i="166" s="1"/>
  <c r="J30" i="166"/>
  <c r="K30" i="166" s="1"/>
  <c r="L30" i="166" s="1"/>
  <c r="H30" i="166"/>
  <c r="H29" i="166"/>
  <c r="J29" i="166" s="1"/>
  <c r="K29" i="166" s="1"/>
  <c r="L29" i="166" s="1"/>
  <c r="K28" i="166"/>
  <c r="L28" i="166" s="1"/>
  <c r="J28" i="166"/>
  <c r="H28" i="166"/>
  <c r="H27" i="166"/>
  <c r="J27" i="166" s="1"/>
  <c r="K27" i="166" s="1"/>
  <c r="L27" i="166" s="1"/>
  <c r="J26" i="166"/>
  <c r="K26" i="166" s="1"/>
  <c r="L26" i="166" s="1"/>
  <c r="H26" i="166"/>
  <c r="K25" i="166"/>
  <c r="L25" i="166" s="1"/>
  <c r="H25" i="166"/>
  <c r="J25" i="166" s="1"/>
  <c r="K24" i="166"/>
  <c r="L24" i="166" s="1"/>
  <c r="H23" i="166"/>
  <c r="J23" i="166" s="1"/>
  <c r="K23" i="166" s="1"/>
  <c r="L23" i="166" s="1"/>
  <c r="G23" i="166"/>
  <c r="H22" i="166"/>
  <c r="J22" i="166" s="1"/>
  <c r="K22" i="166" s="1"/>
  <c r="L22" i="166" s="1"/>
  <c r="G22" i="166"/>
  <c r="H21" i="166"/>
  <c r="J21" i="166" s="1"/>
  <c r="K21" i="166" s="1"/>
  <c r="L21" i="166" s="1"/>
  <c r="G21" i="166"/>
  <c r="G20" i="166"/>
  <c r="H20" i="166" s="1"/>
  <c r="J20" i="166" s="1"/>
  <c r="K20" i="166" s="1"/>
  <c r="L20" i="166" s="1"/>
  <c r="G19" i="166"/>
  <c r="H19" i="166" s="1"/>
  <c r="J19" i="166" s="1"/>
  <c r="K19" i="166" s="1"/>
  <c r="L19" i="166" s="1"/>
  <c r="G18" i="166"/>
  <c r="H18" i="166" s="1"/>
  <c r="J18" i="166" s="1"/>
  <c r="K18" i="166" s="1"/>
  <c r="L18" i="166" s="1"/>
  <c r="J17" i="166"/>
  <c r="K17" i="166" s="1"/>
  <c r="L17" i="166" s="1"/>
  <c r="G17" i="166"/>
  <c r="H17" i="166" s="1"/>
  <c r="G16" i="166"/>
  <c r="H16" i="166" s="1"/>
  <c r="J16" i="166" s="1"/>
  <c r="K16" i="166" s="1"/>
  <c r="L16" i="166" s="1"/>
  <c r="H15" i="166"/>
  <c r="G15" i="166"/>
  <c r="D9" i="166"/>
  <c r="L7" i="166"/>
  <c r="G7" i="166"/>
  <c r="C7" i="166"/>
  <c r="G5" i="166"/>
  <c r="C5" i="166"/>
  <c r="G3" i="166"/>
  <c r="C3" i="166"/>
  <c r="H61" i="165"/>
  <c r="J61" i="165" s="1"/>
  <c r="J60" i="165"/>
  <c r="K60" i="165" s="1"/>
  <c r="H60" i="165"/>
  <c r="L59" i="165"/>
  <c r="H59" i="165"/>
  <c r="J59" i="165" s="1"/>
  <c r="K59" i="165" s="1"/>
  <c r="J58" i="165"/>
  <c r="H58" i="165"/>
  <c r="L57" i="165"/>
  <c r="H57" i="165"/>
  <c r="J57" i="165" s="1"/>
  <c r="K57" i="165" s="1"/>
  <c r="J56" i="165"/>
  <c r="K56" i="165" s="1"/>
  <c r="H56" i="165"/>
  <c r="L55" i="165"/>
  <c r="H55" i="165"/>
  <c r="J55" i="165" s="1"/>
  <c r="K55" i="165" s="1"/>
  <c r="J54" i="165"/>
  <c r="K54" i="165" s="1"/>
  <c r="H54" i="165"/>
  <c r="H53" i="165"/>
  <c r="J53" i="165" s="1"/>
  <c r="J52" i="165"/>
  <c r="L52" i="165" s="1"/>
  <c r="H52" i="165"/>
  <c r="H51" i="165"/>
  <c r="H49" i="165"/>
  <c r="J49" i="165" s="1"/>
  <c r="K49" i="165" s="1"/>
  <c r="L49" i="165" s="1"/>
  <c r="H48" i="165"/>
  <c r="J48" i="165" s="1"/>
  <c r="K48" i="165" s="1"/>
  <c r="L48" i="165" s="1"/>
  <c r="H47" i="165"/>
  <c r="J47" i="165" s="1"/>
  <c r="K47" i="165" s="1"/>
  <c r="L47" i="165" s="1"/>
  <c r="H46" i="165"/>
  <c r="J46" i="165" s="1"/>
  <c r="K46" i="165" s="1"/>
  <c r="L46" i="165" s="1"/>
  <c r="H45" i="165"/>
  <c r="J45" i="165" s="1"/>
  <c r="K45" i="165" s="1"/>
  <c r="L45" i="165" s="1"/>
  <c r="S44" i="165"/>
  <c r="J44" i="165"/>
  <c r="K44" i="165" s="1"/>
  <c r="L44" i="165" s="1"/>
  <c r="H44" i="165"/>
  <c r="S43" i="165"/>
  <c r="J43" i="165"/>
  <c r="K43" i="165" s="1"/>
  <c r="L43" i="165" s="1"/>
  <c r="H43" i="165"/>
  <c r="S42" i="165"/>
  <c r="J42" i="165"/>
  <c r="K42" i="165" s="1"/>
  <c r="L42" i="165" s="1"/>
  <c r="H42" i="165"/>
  <c r="S41" i="165"/>
  <c r="H41" i="165"/>
  <c r="J41" i="165" s="1"/>
  <c r="K41" i="165" s="1"/>
  <c r="L41" i="165" s="1"/>
  <c r="S40" i="165"/>
  <c r="L40" i="165"/>
  <c r="H40" i="165"/>
  <c r="J40" i="165" s="1"/>
  <c r="K40" i="165" s="1"/>
  <c r="S39" i="165"/>
  <c r="K39" i="165"/>
  <c r="L39" i="165" s="1"/>
  <c r="H39" i="165"/>
  <c r="J39" i="165" s="1"/>
  <c r="S38" i="165"/>
  <c r="K38" i="165"/>
  <c r="L38" i="165" s="1"/>
  <c r="J38" i="165"/>
  <c r="H38" i="165"/>
  <c r="J36" i="165"/>
  <c r="K36" i="165" s="1"/>
  <c r="L36" i="165" s="1"/>
  <c r="H36" i="165"/>
  <c r="K35" i="165"/>
  <c r="L35" i="165" s="1"/>
  <c r="J35" i="165"/>
  <c r="H35" i="165"/>
  <c r="L34" i="165"/>
  <c r="J34" i="165"/>
  <c r="K34" i="165" s="1"/>
  <c r="H34" i="165"/>
  <c r="K32" i="165"/>
  <c r="L32" i="165" s="1"/>
  <c r="G32" i="165"/>
  <c r="H32" i="165" s="1"/>
  <c r="J32" i="165" s="1"/>
  <c r="G31" i="165"/>
  <c r="H31" i="165" s="1"/>
  <c r="J31" i="165" s="1"/>
  <c r="K31" i="165" s="1"/>
  <c r="L31" i="165" s="1"/>
  <c r="J30" i="165"/>
  <c r="K30" i="165" s="1"/>
  <c r="L30" i="165" s="1"/>
  <c r="J29" i="165"/>
  <c r="K29" i="165" s="1"/>
  <c r="L29" i="165" s="1"/>
  <c r="H29" i="165"/>
  <c r="J28" i="165"/>
  <c r="K28" i="165" s="1"/>
  <c r="L28" i="165" s="1"/>
  <c r="H28" i="165"/>
  <c r="J27" i="165"/>
  <c r="K27" i="165" s="1"/>
  <c r="L27" i="165" s="1"/>
  <c r="H27" i="165"/>
  <c r="J26" i="165"/>
  <c r="K26" i="165" s="1"/>
  <c r="L26" i="165" s="1"/>
  <c r="H26" i="165"/>
  <c r="J25" i="165"/>
  <c r="K25" i="165" s="1"/>
  <c r="L25" i="165" s="1"/>
  <c r="H25" i="165"/>
  <c r="H24" i="165"/>
  <c r="J24" i="165" s="1"/>
  <c r="K24" i="165" s="1"/>
  <c r="L24" i="165" s="1"/>
  <c r="J23" i="165"/>
  <c r="K23" i="165" s="1"/>
  <c r="L23" i="165" s="1"/>
  <c r="H22" i="165"/>
  <c r="J22" i="165" s="1"/>
  <c r="K22" i="165" s="1"/>
  <c r="L22" i="165" s="1"/>
  <c r="G22" i="165"/>
  <c r="G21" i="165"/>
  <c r="H21" i="165" s="1"/>
  <c r="J21" i="165" s="1"/>
  <c r="K21" i="165" s="1"/>
  <c r="L21" i="165" s="1"/>
  <c r="K20" i="165"/>
  <c r="L20" i="165" s="1"/>
  <c r="J20" i="165"/>
  <c r="H20" i="165"/>
  <c r="H19" i="165"/>
  <c r="J19" i="165" s="1"/>
  <c r="K19" i="165" s="1"/>
  <c r="L19" i="165" s="1"/>
  <c r="L18" i="165"/>
  <c r="J18" i="165"/>
  <c r="K18" i="165" s="1"/>
  <c r="H18" i="165"/>
  <c r="H17" i="165"/>
  <c r="J17" i="165" s="1"/>
  <c r="K17" i="165" s="1"/>
  <c r="L17" i="165" s="1"/>
  <c r="K16" i="165"/>
  <c r="L16" i="165" s="1"/>
  <c r="J16" i="165"/>
  <c r="H16" i="165"/>
  <c r="G15" i="165"/>
  <c r="H15" i="165" s="1"/>
  <c r="D9" i="165"/>
  <c r="L7" i="165"/>
  <c r="G7" i="165"/>
  <c r="C7" i="165"/>
  <c r="G5" i="165"/>
  <c r="C5" i="165"/>
  <c r="G3" i="165"/>
  <c r="C3" i="165"/>
  <c r="G55" i="164"/>
  <c r="I55" i="164" s="1"/>
  <c r="G54" i="164"/>
  <c r="I54" i="164" s="1"/>
  <c r="G53" i="164"/>
  <c r="I53" i="164" s="1"/>
  <c r="J52" i="164"/>
  <c r="G52" i="164"/>
  <c r="I52" i="164" s="1"/>
  <c r="K52" i="164" s="1"/>
  <c r="G51" i="164"/>
  <c r="I51" i="164" s="1"/>
  <c r="F51" i="164"/>
  <c r="I50" i="164"/>
  <c r="G50" i="164"/>
  <c r="F50" i="164"/>
  <c r="F49" i="164"/>
  <c r="G49" i="164" s="1"/>
  <c r="I49" i="164" s="1"/>
  <c r="K48" i="164"/>
  <c r="F48" i="164"/>
  <c r="G48" i="164" s="1"/>
  <c r="I48" i="164" s="1"/>
  <c r="J48" i="164" s="1"/>
  <c r="G47" i="164"/>
  <c r="I47" i="164" s="1"/>
  <c r="F47" i="164"/>
  <c r="G46" i="164"/>
  <c r="G43" i="164" s="1"/>
  <c r="H43" i="164" s="1"/>
  <c r="F46" i="164"/>
  <c r="K45" i="164"/>
  <c r="F45" i="164"/>
  <c r="G45" i="164" s="1"/>
  <c r="I45" i="164" s="1"/>
  <c r="J45" i="164" s="1"/>
  <c r="J44" i="164"/>
  <c r="G44" i="164"/>
  <c r="I44" i="164" s="1"/>
  <c r="K44" i="164" s="1"/>
  <c r="F44" i="164"/>
  <c r="J41" i="164"/>
  <c r="G41" i="164"/>
  <c r="I41" i="164" s="1"/>
  <c r="K41" i="164" s="1"/>
  <c r="F40" i="164"/>
  <c r="G40" i="164" s="1"/>
  <c r="I40" i="164" s="1"/>
  <c r="F39" i="164"/>
  <c r="G39" i="164" s="1"/>
  <c r="I39" i="164" s="1"/>
  <c r="K39" i="164" s="1"/>
  <c r="G38" i="164"/>
  <c r="I38" i="164" s="1"/>
  <c r="F38" i="164"/>
  <c r="G37" i="164"/>
  <c r="I37" i="164" s="1"/>
  <c r="J37" i="164" s="1"/>
  <c r="G36" i="164"/>
  <c r="I36" i="164" s="1"/>
  <c r="F36" i="164"/>
  <c r="G35" i="164"/>
  <c r="I35" i="164" s="1"/>
  <c r="K35" i="164" s="1"/>
  <c r="F35" i="164"/>
  <c r="K34" i="164"/>
  <c r="I34" i="164"/>
  <c r="J34" i="164" s="1"/>
  <c r="G34" i="164"/>
  <c r="K33" i="164"/>
  <c r="I33" i="164"/>
  <c r="J33" i="164" s="1"/>
  <c r="G33" i="164"/>
  <c r="K32" i="164"/>
  <c r="I32" i="164"/>
  <c r="J32" i="164" s="1"/>
  <c r="G32" i="164"/>
  <c r="F31" i="164"/>
  <c r="G31" i="164" s="1"/>
  <c r="I31" i="164" s="1"/>
  <c r="J31" i="164" s="1"/>
  <c r="F30" i="164"/>
  <c r="G30" i="164" s="1"/>
  <c r="I30" i="164" s="1"/>
  <c r="G29" i="164"/>
  <c r="I29" i="164" s="1"/>
  <c r="F29" i="164"/>
  <c r="G28" i="164"/>
  <c r="I28" i="164" s="1"/>
  <c r="F28" i="164"/>
  <c r="K27" i="164"/>
  <c r="I27" i="164"/>
  <c r="J27" i="164" s="1"/>
  <c r="F27" i="164"/>
  <c r="G27" i="164" s="1"/>
  <c r="I26" i="164"/>
  <c r="F26" i="164"/>
  <c r="G26" i="164" s="1"/>
  <c r="G25" i="164"/>
  <c r="I25" i="164" s="1"/>
  <c r="F25" i="164"/>
  <c r="K24" i="164"/>
  <c r="F24" i="164"/>
  <c r="G24" i="164" s="1"/>
  <c r="I24" i="164" s="1"/>
  <c r="J24" i="164" s="1"/>
  <c r="G23" i="164"/>
  <c r="I23" i="164" s="1"/>
  <c r="F23" i="164"/>
  <c r="F22" i="164"/>
  <c r="G22" i="164" s="1"/>
  <c r="I22" i="164" s="1"/>
  <c r="G21" i="164"/>
  <c r="I21" i="164" s="1"/>
  <c r="K21" i="164" s="1"/>
  <c r="F21" i="164"/>
  <c r="F20" i="164"/>
  <c r="G20" i="164" s="1"/>
  <c r="I20" i="164" s="1"/>
  <c r="G19" i="164"/>
  <c r="I19" i="164" s="1"/>
  <c r="F19" i="164"/>
  <c r="I18" i="164"/>
  <c r="G18" i="164"/>
  <c r="J17" i="164"/>
  <c r="I17" i="164"/>
  <c r="F16" i="164"/>
  <c r="G16" i="164" s="1"/>
  <c r="I16" i="164" s="1"/>
  <c r="G15" i="164"/>
  <c r="I15" i="164" s="1"/>
  <c r="F15" i="164"/>
  <c r="F14" i="164"/>
  <c r="G14" i="164" s="1"/>
  <c r="D10" i="164"/>
  <c r="K7" i="164"/>
  <c r="F7" i="164"/>
  <c r="C7" i="164"/>
  <c r="F5" i="164"/>
  <c r="C5" i="164"/>
  <c r="F3" i="164"/>
  <c r="C3" i="164"/>
  <c r="K66" i="163"/>
  <c r="I66" i="163"/>
  <c r="J66" i="163" s="1"/>
  <c r="C73" i="163" s="1"/>
  <c r="G66" i="163"/>
  <c r="I65" i="163"/>
  <c r="G65" i="163"/>
  <c r="K64" i="163"/>
  <c r="I64" i="163"/>
  <c r="J64" i="163" s="1"/>
  <c r="G64" i="163"/>
  <c r="I63" i="163"/>
  <c r="G63" i="163"/>
  <c r="K62" i="163"/>
  <c r="I62" i="163"/>
  <c r="J62" i="163" s="1"/>
  <c r="G62" i="163"/>
  <c r="I61" i="163"/>
  <c r="G61" i="163"/>
  <c r="K60" i="163"/>
  <c r="I60" i="163"/>
  <c r="J60" i="163" s="1"/>
  <c r="G60" i="163"/>
  <c r="I59" i="163"/>
  <c r="G59" i="163"/>
  <c r="F58" i="163"/>
  <c r="G58" i="163" s="1"/>
  <c r="I58" i="163" s="1"/>
  <c r="J57" i="163"/>
  <c r="G57" i="163"/>
  <c r="I57" i="163" s="1"/>
  <c r="F57" i="163"/>
  <c r="G56" i="163"/>
  <c r="H56" i="163" s="1"/>
  <c r="K54" i="163"/>
  <c r="I54" i="163"/>
  <c r="J54" i="163" s="1"/>
  <c r="O54" i="163" s="1"/>
  <c r="G54" i="163"/>
  <c r="G53" i="163"/>
  <c r="I53" i="163" s="1"/>
  <c r="K53" i="163" s="1"/>
  <c r="K52" i="163"/>
  <c r="I52" i="163"/>
  <c r="J52" i="163" s="1"/>
  <c r="O52" i="163" s="1"/>
  <c r="G52" i="163"/>
  <c r="G51" i="163"/>
  <c r="I51" i="163" s="1"/>
  <c r="I50" i="163"/>
  <c r="G50" i="163"/>
  <c r="G49" i="163"/>
  <c r="I49" i="163" s="1"/>
  <c r="K48" i="163"/>
  <c r="I48" i="163"/>
  <c r="J48" i="163" s="1"/>
  <c r="P48" i="163" s="1"/>
  <c r="G48" i="163"/>
  <c r="G47" i="163"/>
  <c r="I47" i="163" s="1"/>
  <c r="K46" i="163"/>
  <c r="I46" i="163"/>
  <c r="J46" i="163" s="1"/>
  <c r="P46" i="163" s="1"/>
  <c r="G46" i="163"/>
  <c r="J45" i="163"/>
  <c r="P45" i="163" s="1"/>
  <c r="G45" i="163"/>
  <c r="I45" i="163" s="1"/>
  <c r="K45" i="163" s="1"/>
  <c r="K44" i="163"/>
  <c r="I44" i="163"/>
  <c r="J44" i="163" s="1"/>
  <c r="P44" i="163" s="1"/>
  <c r="G44" i="163"/>
  <c r="G43" i="163"/>
  <c r="I43" i="163" s="1"/>
  <c r="I42" i="163"/>
  <c r="G42" i="163"/>
  <c r="G41" i="163"/>
  <c r="I41" i="163" s="1"/>
  <c r="K40" i="163"/>
  <c r="I40" i="163"/>
  <c r="J40" i="163" s="1"/>
  <c r="P40" i="163" s="1"/>
  <c r="G40" i="163"/>
  <c r="G39" i="163"/>
  <c r="I39" i="163" s="1"/>
  <c r="K38" i="163"/>
  <c r="I38" i="163"/>
  <c r="J38" i="163" s="1"/>
  <c r="N38" i="163" s="1"/>
  <c r="G38" i="163"/>
  <c r="J37" i="163"/>
  <c r="N37" i="163" s="1"/>
  <c r="G37" i="163"/>
  <c r="I37" i="163" s="1"/>
  <c r="K37" i="163" s="1"/>
  <c r="F36" i="163"/>
  <c r="G36" i="163" s="1"/>
  <c r="I36" i="163" s="1"/>
  <c r="K35" i="163"/>
  <c r="I35" i="163"/>
  <c r="J35" i="163" s="1"/>
  <c r="N35" i="163" s="1"/>
  <c r="G35" i="163"/>
  <c r="G34" i="163"/>
  <c r="I34" i="163" s="1"/>
  <c r="K34" i="163" s="1"/>
  <c r="K33" i="163"/>
  <c r="I33" i="163"/>
  <c r="J33" i="163" s="1"/>
  <c r="N33" i="163" s="1"/>
  <c r="G33" i="163"/>
  <c r="G32" i="163"/>
  <c r="I32" i="163" s="1"/>
  <c r="I31" i="163"/>
  <c r="G31" i="163"/>
  <c r="G30" i="163"/>
  <c r="I30" i="163" s="1"/>
  <c r="K29" i="163"/>
  <c r="I29" i="163"/>
  <c r="J29" i="163" s="1"/>
  <c r="N29" i="163" s="1"/>
  <c r="G29" i="163"/>
  <c r="G28" i="163"/>
  <c r="I28" i="163" s="1"/>
  <c r="F28" i="163"/>
  <c r="G27" i="163"/>
  <c r="I27" i="163" s="1"/>
  <c r="F27" i="163"/>
  <c r="G26" i="163"/>
  <c r="I26" i="163" s="1"/>
  <c r="F26" i="163"/>
  <c r="G25" i="163"/>
  <c r="I25" i="163" s="1"/>
  <c r="K25" i="163" s="1"/>
  <c r="F25" i="163"/>
  <c r="G24" i="163"/>
  <c r="I24" i="163" s="1"/>
  <c r="K23" i="163"/>
  <c r="I23" i="163"/>
  <c r="J23" i="163" s="1"/>
  <c r="M23" i="163" s="1"/>
  <c r="G23" i="163"/>
  <c r="G22" i="163"/>
  <c r="I22" i="163" s="1"/>
  <c r="K22" i="163" s="1"/>
  <c r="K21" i="163"/>
  <c r="I21" i="163"/>
  <c r="J21" i="163" s="1"/>
  <c r="M21" i="163" s="1"/>
  <c r="G21" i="163"/>
  <c r="G20" i="163"/>
  <c r="I20" i="163" s="1"/>
  <c r="I19" i="163"/>
  <c r="F19" i="163"/>
  <c r="G19" i="163" s="1"/>
  <c r="F18" i="163"/>
  <c r="G18" i="163" s="1"/>
  <c r="I18" i="163" s="1"/>
  <c r="K17" i="163"/>
  <c r="I17" i="163"/>
  <c r="J17" i="163" s="1"/>
  <c r="M17" i="163" s="1"/>
  <c r="G17" i="163"/>
  <c r="G16" i="163"/>
  <c r="I16" i="163" s="1"/>
  <c r="F15" i="163"/>
  <c r="G15" i="163" s="1"/>
  <c r="I15" i="163" s="1"/>
  <c r="F14" i="163"/>
  <c r="G14" i="163" s="1"/>
  <c r="I14" i="163" s="1"/>
  <c r="F13" i="163"/>
  <c r="G13" i="163" s="1"/>
  <c r="D9" i="163"/>
  <c r="K7" i="163"/>
  <c r="F7" i="163"/>
  <c r="C7" i="163"/>
  <c r="F5" i="163"/>
  <c r="C5" i="163"/>
  <c r="F3" i="163"/>
  <c r="C3" i="163"/>
  <c r="G66" i="162"/>
  <c r="I66" i="162" s="1"/>
  <c r="J65" i="162"/>
  <c r="G65" i="162"/>
  <c r="I65" i="162" s="1"/>
  <c r="K65" i="162" s="1"/>
  <c r="G64" i="162"/>
  <c r="I64" i="162" s="1"/>
  <c r="G63" i="162"/>
  <c r="I63" i="162" s="1"/>
  <c r="K63" i="162" s="1"/>
  <c r="G62" i="162"/>
  <c r="I62" i="162" s="1"/>
  <c r="G61" i="162"/>
  <c r="I61" i="162" s="1"/>
  <c r="K61" i="162" s="1"/>
  <c r="G60" i="162"/>
  <c r="I60" i="162" s="1"/>
  <c r="J59" i="162"/>
  <c r="G59" i="162"/>
  <c r="I59" i="162" s="1"/>
  <c r="K59" i="162" s="1"/>
  <c r="F59" i="162"/>
  <c r="F58" i="162"/>
  <c r="G58" i="162" s="1"/>
  <c r="G57" i="162"/>
  <c r="I57" i="162" s="1"/>
  <c r="F57" i="162"/>
  <c r="G54" i="162"/>
  <c r="I54" i="162" s="1"/>
  <c r="J53" i="162"/>
  <c r="G53" i="162"/>
  <c r="I53" i="162" s="1"/>
  <c r="K53" i="162" s="1"/>
  <c r="G52" i="162"/>
  <c r="I52" i="162" s="1"/>
  <c r="J51" i="162"/>
  <c r="G51" i="162"/>
  <c r="I51" i="162" s="1"/>
  <c r="K51" i="162" s="1"/>
  <c r="G50" i="162"/>
  <c r="I50" i="162" s="1"/>
  <c r="G49" i="162"/>
  <c r="I49" i="162" s="1"/>
  <c r="G48" i="162"/>
  <c r="I48" i="162" s="1"/>
  <c r="G47" i="162"/>
  <c r="I47" i="162" s="1"/>
  <c r="K47" i="162" s="1"/>
  <c r="G46" i="162"/>
  <c r="I46" i="162" s="1"/>
  <c r="J45" i="162"/>
  <c r="G45" i="162"/>
  <c r="I45" i="162" s="1"/>
  <c r="K45" i="162" s="1"/>
  <c r="G44" i="162"/>
  <c r="I44" i="162" s="1"/>
  <c r="J43" i="162"/>
  <c r="G43" i="162"/>
  <c r="I43" i="162" s="1"/>
  <c r="K43" i="162" s="1"/>
  <c r="G42" i="162"/>
  <c r="I42" i="162" s="1"/>
  <c r="G41" i="162"/>
  <c r="I41" i="162" s="1"/>
  <c r="K41" i="162" s="1"/>
  <c r="G40" i="162"/>
  <c r="I40" i="162" s="1"/>
  <c r="G39" i="162"/>
  <c r="I39" i="162" s="1"/>
  <c r="K39" i="162" s="1"/>
  <c r="G38" i="162"/>
  <c r="I38" i="162" s="1"/>
  <c r="J37" i="162"/>
  <c r="G37" i="162"/>
  <c r="I37" i="162" s="1"/>
  <c r="K37" i="162" s="1"/>
  <c r="G36" i="162"/>
  <c r="I36" i="162" s="1"/>
  <c r="F36" i="162"/>
  <c r="K35" i="162"/>
  <c r="I35" i="162"/>
  <c r="J35" i="162" s="1"/>
  <c r="G35" i="162"/>
  <c r="K34" i="162"/>
  <c r="I34" i="162"/>
  <c r="J34" i="162" s="1"/>
  <c r="G34" i="162"/>
  <c r="K33" i="162"/>
  <c r="I33" i="162"/>
  <c r="J33" i="162" s="1"/>
  <c r="G33" i="162"/>
  <c r="K32" i="162"/>
  <c r="I32" i="162"/>
  <c r="J32" i="162" s="1"/>
  <c r="G32" i="162"/>
  <c r="K31" i="162"/>
  <c r="I31" i="162"/>
  <c r="J31" i="162" s="1"/>
  <c r="G31" i="162"/>
  <c r="K30" i="162"/>
  <c r="I30" i="162"/>
  <c r="J30" i="162" s="1"/>
  <c r="G30" i="162"/>
  <c r="K29" i="162"/>
  <c r="I29" i="162"/>
  <c r="J29" i="162" s="1"/>
  <c r="G29" i="162"/>
  <c r="K28" i="162"/>
  <c r="I28" i="162"/>
  <c r="J28" i="162" s="1"/>
  <c r="G28" i="162"/>
  <c r="K27" i="162"/>
  <c r="I27" i="162"/>
  <c r="J27" i="162" s="1"/>
  <c r="G27" i="162"/>
  <c r="K26" i="162"/>
  <c r="I26" i="162"/>
  <c r="J26" i="162" s="1"/>
  <c r="G26" i="162"/>
  <c r="K25" i="162"/>
  <c r="I25" i="162"/>
  <c r="J25" i="162" s="1"/>
  <c r="G25" i="162"/>
  <c r="K24" i="162"/>
  <c r="I24" i="162"/>
  <c r="J24" i="162" s="1"/>
  <c r="G24" i="162"/>
  <c r="K23" i="162"/>
  <c r="I23" i="162"/>
  <c r="J23" i="162" s="1"/>
  <c r="G23" i="162"/>
  <c r="K22" i="162"/>
  <c r="I22" i="162"/>
  <c r="J22" i="162" s="1"/>
  <c r="G22" i="162"/>
  <c r="K21" i="162"/>
  <c r="I21" i="162"/>
  <c r="J21" i="162" s="1"/>
  <c r="G21" i="162"/>
  <c r="K20" i="162"/>
  <c r="I20" i="162"/>
  <c r="J20" i="162" s="1"/>
  <c r="G20" i="162"/>
  <c r="K19" i="162"/>
  <c r="I19" i="162"/>
  <c r="J19" i="162" s="1"/>
  <c r="G19" i="162"/>
  <c r="F18" i="162"/>
  <c r="G18" i="162" s="1"/>
  <c r="I18" i="162" s="1"/>
  <c r="G17" i="162"/>
  <c r="I17" i="162" s="1"/>
  <c r="G16" i="162"/>
  <c r="I16" i="162" s="1"/>
  <c r="G15" i="162"/>
  <c r="I15" i="162" s="1"/>
  <c r="G14" i="162"/>
  <c r="I14" i="162" s="1"/>
  <c r="G13" i="162"/>
  <c r="I13" i="162" s="1"/>
  <c r="D9" i="162"/>
  <c r="K7" i="162"/>
  <c r="F7" i="162"/>
  <c r="C7" i="162"/>
  <c r="F5" i="162"/>
  <c r="C5" i="162"/>
  <c r="F3" i="162"/>
  <c r="C3" i="162"/>
  <c r="R91" i="161"/>
  <c r="R90" i="161"/>
  <c r="R89" i="161"/>
  <c r="R88" i="161"/>
  <c r="R87" i="161"/>
  <c r="R86" i="161"/>
  <c r="R85" i="161"/>
  <c r="R84" i="161"/>
  <c r="R83" i="161"/>
  <c r="R82" i="161"/>
  <c r="R81" i="161"/>
  <c r="R80" i="161"/>
  <c r="R79" i="161"/>
  <c r="R78" i="161"/>
  <c r="R77" i="161"/>
  <c r="R76" i="161"/>
  <c r="R92" i="161" s="1"/>
  <c r="R68" i="161"/>
  <c r="R67" i="161"/>
  <c r="R66" i="161"/>
  <c r="R65" i="161"/>
  <c r="R64" i="161"/>
  <c r="R63" i="161"/>
  <c r="R62" i="161"/>
  <c r="R61" i="161"/>
  <c r="R60" i="161"/>
  <c r="R59" i="161"/>
  <c r="R58" i="161"/>
  <c r="R57" i="161"/>
  <c r="R56" i="161"/>
  <c r="R55" i="161"/>
  <c r="R54" i="161"/>
  <c r="R53" i="161"/>
  <c r="R45" i="161"/>
  <c r="R44" i="161"/>
  <c r="R43" i="161"/>
  <c r="R42" i="161"/>
  <c r="R41" i="161"/>
  <c r="R40" i="161"/>
  <c r="R39" i="161"/>
  <c r="R38" i="161"/>
  <c r="R37" i="161"/>
  <c r="R36" i="161"/>
  <c r="R35" i="161"/>
  <c r="R34" i="161"/>
  <c r="R33" i="161"/>
  <c r="R32" i="161"/>
  <c r="R31" i="161"/>
  <c r="R30" i="161"/>
  <c r="R22" i="161"/>
  <c r="R21" i="161"/>
  <c r="R20" i="161"/>
  <c r="R19" i="161"/>
  <c r="R18" i="161"/>
  <c r="R17" i="161"/>
  <c r="R16" i="161"/>
  <c r="R15" i="161"/>
  <c r="R14" i="161"/>
  <c r="R13" i="161"/>
  <c r="R12" i="161"/>
  <c r="R11" i="161"/>
  <c r="R10" i="161"/>
  <c r="R9" i="161"/>
  <c r="R8" i="161"/>
  <c r="R7" i="161"/>
  <c r="R23" i="161" s="1"/>
  <c r="R24" i="161" s="1"/>
  <c r="N2" i="161"/>
  <c r="H2" i="161"/>
  <c r="R91" i="160"/>
  <c r="R90" i="160"/>
  <c r="R89" i="160"/>
  <c r="R88" i="160"/>
  <c r="R87" i="160"/>
  <c r="R86" i="160"/>
  <c r="R85" i="160"/>
  <c r="R84" i="160"/>
  <c r="R83" i="160"/>
  <c r="R82" i="160"/>
  <c r="R81" i="160"/>
  <c r="R80" i="160"/>
  <c r="R79" i="160"/>
  <c r="R78" i="160"/>
  <c r="R77" i="160"/>
  <c r="R76" i="160"/>
  <c r="R92" i="160" s="1"/>
  <c r="R68" i="160"/>
  <c r="R67" i="160"/>
  <c r="R66" i="160"/>
  <c r="R65" i="160"/>
  <c r="R64" i="160"/>
  <c r="R63" i="160"/>
  <c r="R62" i="160"/>
  <c r="R61" i="160"/>
  <c r="R60" i="160"/>
  <c r="R59" i="160"/>
  <c r="R58" i="160"/>
  <c r="R57" i="160"/>
  <c r="R56" i="160"/>
  <c r="R55" i="160"/>
  <c r="R54" i="160"/>
  <c r="R53" i="160"/>
  <c r="R69" i="160" s="1"/>
  <c r="R45" i="160"/>
  <c r="R44" i="160"/>
  <c r="R43" i="160"/>
  <c r="R42" i="160"/>
  <c r="R41" i="160"/>
  <c r="R40" i="160"/>
  <c r="R39" i="160"/>
  <c r="R38" i="160"/>
  <c r="R37" i="160"/>
  <c r="R36" i="160"/>
  <c r="R35" i="160"/>
  <c r="R34" i="160"/>
  <c r="R33" i="160"/>
  <c r="R32" i="160"/>
  <c r="R31" i="160"/>
  <c r="R30" i="160"/>
  <c r="R22" i="160"/>
  <c r="R21" i="160"/>
  <c r="R20" i="160"/>
  <c r="R19" i="160"/>
  <c r="R18" i="160"/>
  <c r="R17" i="160"/>
  <c r="R16" i="160"/>
  <c r="R15" i="160"/>
  <c r="R14" i="160"/>
  <c r="R13" i="160"/>
  <c r="R12" i="160"/>
  <c r="R11" i="160"/>
  <c r="R10" i="160"/>
  <c r="R9" i="160"/>
  <c r="R8" i="160"/>
  <c r="R7" i="160"/>
  <c r="R23" i="160" s="1"/>
  <c r="R24" i="160" s="1"/>
  <c r="N2" i="160"/>
  <c r="H2" i="160"/>
  <c r="R45" i="159"/>
  <c r="R44" i="159"/>
  <c r="R43" i="159"/>
  <c r="R42" i="159"/>
  <c r="R41" i="159"/>
  <c r="R40" i="159"/>
  <c r="R39" i="159"/>
  <c r="R38" i="159"/>
  <c r="R37" i="159"/>
  <c r="R36" i="159"/>
  <c r="R35" i="159"/>
  <c r="R34" i="159"/>
  <c r="R33" i="159"/>
  <c r="R32" i="159"/>
  <c r="R31" i="159"/>
  <c r="R30" i="159"/>
  <c r="R46" i="159" s="1"/>
  <c r="R22" i="159"/>
  <c r="R21" i="159"/>
  <c r="R20" i="159"/>
  <c r="R19" i="159"/>
  <c r="R18" i="159"/>
  <c r="R17" i="159"/>
  <c r="R16" i="159"/>
  <c r="R15" i="159"/>
  <c r="R14" i="159"/>
  <c r="R13" i="159"/>
  <c r="R12" i="159"/>
  <c r="R11" i="159"/>
  <c r="R10" i="159"/>
  <c r="R9" i="159"/>
  <c r="R8" i="159"/>
  <c r="R7" i="159"/>
  <c r="N2" i="159"/>
  <c r="H2" i="159"/>
  <c r="D41" i="158"/>
  <c r="D35" i="158"/>
  <c r="D29" i="158"/>
  <c r="D22" i="158"/>
  <c r="D15" i="158"/>
  <c r="D3" i="158"/>
  <c r="D9" i="158" s="1"/>
  <c r="K46" i="157"/>
  <c r="M46" i="157" s="1"/>
  <c r="K45" i="157"/>
  <c r="M45" i="157" s="1"/>
  <c r="K44" i="157"/>
  <c r="M44" i="157" s="1"/>
  <c r="K43" i="157"/>
  <c r="M43" i="157" s="1"/>
  <c r="K42" i="157"/>
  <c r="M42" i="157" s="1"/>
  <c r="K41" i="157"/>
  <c r="M41" i="157" s="1"/>
  <c r="K40" i="157"/>
  <c r="M40" i="157" s="1"/>
  <c r="K39" i="157"/>
  <c r="M39" i="157" s="1"/>
  <c r="K38" i="157"/>
  <c r="M38" i="157" s="1"/>
  <c r="J38" i="157"/>
  <c r="J37" i="157"/>
  <c r="K37" i="157" s="1"/>
  <c r="M37" i="157" s="1"/>
  <c r="J36" i="157"/>
  <c r="K36" i="157" s="1"/>
  <c r="K32" i="157"/>
  <c r="M32" i="157" s="1"/>
  <c r="K31" i="157"/>
  <c r="M31" i="157" s="1"/>
  <c r="K30" i="157"/>
  <c r="M30" i="157" s="1"/>
  <c r="J30" i="157"/>
  <c r="O29" i="157"/>
  <c r="M29" i="157"/>
  <c r="N29" i="157" s="1"/>
  <c r="K29" i="157"/>
  <c r="M28" i="157"/>
  <c r="J28" i="157"/>
  <c r="K28" i="157" s="1"/>
  <c r="N27" i="157"/>
  <c r="M27" i="157"/>
  <c r="O27" i="157" s="1"/>
  <c r="K27" i="157"/>
  <c r="K26" i="157"/>
  <c r="M26" i="157" s="1"/>
  <c r="O26" i="157" s="1"/>
  <c r="N25" i="157"/>
  <c r="M25" i="157"/>
  <c r="O25" i="157" s="1"/>
  <c r="K25" i="157"/>
  <c r="K24" i="157"/>
  <c r="M24" i="157" s="1"/>
  <c r="N23" i="157"/>
  <c r="M23" i="157"/>
  <c r="O23" i="157" s="1"/>
  <c r="K23" i="157"/>
  <c r="N22" i="157"/>
  <c r="K22" i="157"/>
  <c r="M22" i="157" s="1"/>
  <c r="O22" i="157" s="1"/>
  <c r="N21" i="157"/>
  <c r="M21" i="157"/>
  <c r="O21" i="157" s="1"/>
  <c r="K21" i="157"/>
  <c r="N20" i="157"/>
  <c r="K20" i="157"/>
  <c r="M20" i="157" s="1"/>
  <c r="O20" i="157" s="1"/>
  <c r="N19" i="157"/>
  <c r="M19" i="157"/>
  <c r="O19" i="157" s="1"/>
  <c r="K19" i="157"/>
  <c r="K18" i="157"/>
  <c r="M18" i="157" s="1"/>
  <c r="O18" i="157" s="1"/>
  <c r="N17" i="157"/>
  <c r="M17" i="157"/>
  <c r="O17" i="157" s="1"/>
  <c r="K17" i="157"/>
  <c r="K16" i="157"/>
  <c r="M16" i="157" s="1"/>
  <c r="O16" i="157" s="1"/>
  <c r="N15" i="157"/>
  <c r="M15" i="157"/>
  <c r="O15" i="157" s="1"/>
  <c r="K15" i="157"/>
  <c r="K14" i="157"/>
  <c r="L12" i="157" s="1"/>
  <c r="I12" i="157"/>
  <c r="G12" i="157" s="1"/>
  <c r="E12" i="157"/>
  <c r="H12" i="157" s="1"/>
  <c r="E9" i="157"/>
  <c r="O7" i="157"/>
  <c r="H7" i="157"/>
  <c r="D7" i="157"/>
  <c r="H5" i="157"/>
  <c r="D5" i="157"/>
  <c r="H3" i="157"/>
  <c r="D3" i="157"/>
  <c r="K37" i="156"/>
  <c r="M37" i="156" s="1"/>
  <c r="K36" i="156"/>
  <c r="M36" i="156" s="1"/>
  <c r="K35" i="156"/>
  <c r="M35" i="156" s="1"/>
  <c r="K34" i="156"/>
  <c r="M34" i="156" s="1"/>
  <c r="K33" i="156"/>
  <c r="M33" i="156" s="1"/>
  <c r="K32" i="156"/>
  <c r="M32" i="156" s="1"/>
  <c r="K31" i="156"/>
  <c r="M31" i="156" s="1"/>
  <c r="K30" i="156"/>
  <c r="M30" i="156" s="1"/>
  <c r="K29" i="156"/>
  <c r="M29" i="156" s="1"/>
  <c r="J29" i="156"/>
  <c r="J28" i="156"/>
  <c r="K28" i="156" s="1"/>
  <c r="M28" i="156" s="1"/>
  <c r="J27" i="156"/>
  <c r="K27" i="156" s="1"/>
  <c r="K23" i="156"/>
  <c r="M23" i="156" s="1"/>
  <c r="K22" i="156"/>
  <c r="M22" i="156" s="1"/>
  <c r="K21" i="156"/>
  <c r="M21" i="156" s="1"/>
  <c r="K20" i="156"/>
  <c r="M20" i="156" s="1"/>
  <c r="K19" i="156"/>
  <c r="M19" i="156" s="1"/>
  <c r="K18" i="156"/>
  <c r="M18" i="156" s="1"/>
  <c r="K17" i="156"/>
  <c r="M17" i="156" s="1"/>
  <c r="K16" i="156"/>
  <c r="M16" i="156" s="1"/>
  <c r="K15" i="156"/>
  <c r="M15" i="156" s="1"/>
  <c r="K14" i="156"/>
  <c r="L12" i="156" s="1"/>
  <c r="I12" i="156"/>
  <c r="G12" i="156"/>
  <c r="E12" i="156"/>
  <c r="H12" i="156" s="1"/>
  <c r="E9" i="156"/>
  <c r="O7" i="156"/>
  <c r="H7" i="156"/>
  <c r="D7" i="156"/>
  <c r="H5" i="156"/>
  <c r="D5" i="156"/>
  <c r="H3" i="156"/>
  <c r="D3" i="156"/>
  <c r="K62" i="155"/>
  <c r="J62" i="155"/>
  <c r="L62" i="155" s="1"/>
  <c r="H62" i="155"/>
  <c r="K61" i="155"/>
  <c r="H61" i="155"/>
  <c r="J61" i="155" s="1"/>
  <c r="L61" i="155" s="1"/>
  <c r="K60" i="155"/>
  <c r="J60" i="155"/>
  <c r="L60" i="155" s="1"/>
  <c r="H60" i="155"/>
  <c r="H59" i="155"/>
  <c r="J59" i="155" s="1"/>
  <c r="L59" i="155" s="1"/>
  <c r="K58" i="155"/>
  <c r="J58" i="155"/>
  <c r="L58" i="155" s="1"/>
  <c r="H58" i="155"/>
  <c r="H57" i="155"/>
  <c r="J57" i="155" s="1"/>
  <c r="K56" i="155"/>
  <c r="J56" i="155"/>
  <c r="L56" i="155" s="1"/>
  <c r="H56" i="155"/>
  <c r="K55" i="155"/>
  <c r="H55" i="155"/>
  <c r="J55" i="155" s="1"/>
  <c r="L55" i="155" s="1"/>
  <c r="K54" i="155"/>
  <c r="J54" i="155"/>
  <c r="L54" i="155" s="1"/>
  <c r="H54" i="155"/>
  <c r="H53" i="155"/>
  <c r="L50" i="155"/>
  <c r="J50" i="155"/>
  <c r="K50" i="155" s="1"/>
  <c r="H50" i="155"/>
  <c r="L49" i="155"/>
  <c r="K49" i="155"/>
  <c r="J49" i="155"/>
  <c r="H49" i="155"/>
  <c r="J48" i="155"/>
  <c r="K48" i="155" s="1"/>
  <c r="L48" i="155" s="1"/>
  <c r="H48" i="155"/>
  <c r="L47" i="155"/>
  <c r="K47" i="155"/>
  <c r="J47" i="155"/>
  <c r="H47" i="155"/>
  <c r="J46" i="155"/>
  <c r="K46" i="155" s="1"/>
  <c r="L46" i="155" s="1"/>
  <c r="H46" i="155"/>
  <c r="L45" i="155"/>
  <c r="K45" i="155"/>
  <c r="J45" i="155"/>
  <c r="H45" i="155"/>
  <c r="L44" i="155"/>
  <c r="J44" i="155"/>
  <c r="K44" i="155" s="1"/>
  <c r="H44" i="155"/>
  <c r="L43" i="155"/>
  <c r="K43" i="155"/>
  <c r="J43" i="155"/>
  <c r="H43" i="155"/>
  <c r="L42" i="155"/>
  <c r="J42" i="155"/>
  <c r="K42" i="155" s="1"/>
  <c r="H42" i="155"/>
  <c r="L41" i="155"/>
  <c r="K41" i="155"/>
  <c r="J41" i="155"/>
  <c r="H41" i="155"/>
  <c r="J40" i="155"/>
  <c r="K40" i="155" s="1"/>
  <c r="L40" i="155" s="1"/>
  <c r="H40" i="155"/>
  <c r="L39" i="155"/>
  <c r="K39" i="155"/>
  <c r="J39" i="155"/>
  <c r="H39" i="155"/>
  <c r="J37" i="155"/>
  <c r="K37" i="155" s="1"/>
  <c r="L37" i="155" s="1"/>
  <c r="H37" i="155"/>
  <c r="L36" i="155"/>
  <c r="K36" i="155"/>
  <c r="J36" i="155"/>
  <c r="H36" i="155"/>
  <c r="L35" i="155"/>
  <c r="J35" i="155"/>
  <c r="K35" i="155" s="1"/>
  <c r="H35" i="155"/>
  <c r="H33" i="155"/>
  <c r="J33" i="155" s="1"/>
  <c r="K33" i="155" s="1"/>
  <c r="L33" i="155" s="1"/>
  <c r="G33" i="155"/>
  <c r="J32" i="155"/>
  <c r="K32" i="155" s="1"/>
  <c r="L32" i="155" s="1"/>
  <c r="G32" i="155"/>
  <c r="H32" i="155" s="1"/>
  <c r="K31" i="155"/>
  <c r="L31" i="155" s="1"/>
  <c r="J31" i="155"/>
  <c r="J30" i="155"/>
  <c r="K30" i="155" s="1"/>
  <c r="L30" i="155" s="1"/>
  <c r="H30" i="155"/>
  <c r="J29" i="155"/>
  <c r="K29" i="155" s="1"/>
  <c r="L29" i="155" s="1"/>
  <c r="H29" i="155"/>
  <c r="J28" i="155"/>
  <c r="K28" i="155" s="1"/>
  <c r="L28" i="155" s="1"/>
  <c r="H28" i="155"/>
  <c r="L27" i="155"/>
  <c r="J27" i="155"/>
  <c r="K27" i="155" s="1"/>
  <c r="H27" i="155"/>
  <c r="J26" i="155"/>
  <c r="K26" i="155" s="1"/>
  <c r="L26" i="155" s="1"/>
  <c r="H26" i="155"/>
  <c r="L25" i="155"/>
  <c r="J25" i="155"/>
  <c r="K25" i="155" s="1"/>
  <c r="H25" i="155"/>
  <c r="K24" i="155"/>
  <c r="L24" i="155" s="1"/>
  <c r="G23" i="155"/>
  <c r="H23" i="155" s="1"/>
  <c r="J23" i="155" s="1"/>
  <c r="K23" i="155" s="1"/>
  <c r="L23" i="155" s="1"/>
  <c r="H22" i="155"/>
  <c r="J22" i="155" s="1"/>
  <c r="K22" i="155" s="1"/>
  <c r="L22" i="155" s="1"/>
  <c r="G22" i="155"/>
  <c r="J21" i="155"/>
  <c r="K21" i="155" s="1"/>
  <c r="L21" i="155" s="1"/>
  <c r="H21" i="155"/>
  <c r="G21" i="155"/>
  <c r="H20" i="155"/>
  <c r="J20" i="155" s="1"/>
  <c r="K20" i="155" s="1"/>
  <c r="L20" i="155" s="1"/>
  <c r="G20" i="155"/>
  <c r="L19" i="155"/>
  <c r="G19" i="155"/>
  <c r="H19" i="155" s="1"/>
  <c r="J19" i="155" s="1"/>
  <c r="K19" i="155" s="1"/>
  <c r="H18" i="155"/>
  <c r="J18" i="155" s="1"/>
  <c r="K18" i="155" s="1"/>
  <c r="L18" i="155" s="1"/>
  <c r="G18" i="155"/>
  <c r="G17" i="155"/>
  <c r="H17" i="155" s="1"/>
  <c r="J17" i="155" s="1"/>
  <c r="K17" i="155" s="1"/>
  <c r="L17" i="155" s="1"/>
  <c r="K16" i="155"/>
  <c r="L16" i="155" s="1"/>
  <c r="G16" i="155"/>
  <c r="H16" i="155" s="1"/>
  <c r="J16" i="155" s="1"/>
  <c r="G15" i="155"/>
  <c r="H15" i="155" s="1"/>
  <c r="D9" i="155"/>
  <c r="L7" i="155"/>
  <c r="G7" i="155"/>
  <c r="C7" i="155"/>
  <c r="G5" i="155"/>
  <c r="C5" i="155"/>
  <c r="G3" i="155"/>
  <c r="C3" i="155"/>
  <c r="K61" i="154"/>
  <c r="H61" i="154"/>
  <c r="J61" i="154" s="1"/>
  <c r="L61" i="154" s="1"/>
  <c r="K60" i="154"/>
  <c r="J60" i="154"/>
  <c r="L60" i="154" s="1"/>
  <c r="H60" i="154"/>
  <c r="K59" i="154"/>
  <c r="H59" i="154"/>
  <c r="J59" i="154" s="1"/>
  <c r="L59" i="154" s="1"/>
  <c r="J58" i="154"/>
  <c r="L58" i="154" s="1"/>
  <c r="H58" i="154"/>
  <c r="H57" i="154"/>
  <c r="J57" i="154" s="1"/>
  <c r="L57" i="154" s="1"/>
  <c r="K56" i="154"/>
  <c r="J56" i="154"/>
  <c r="L56" i="154" s="1"/>
  <c r="H56" i="154"/>
  <c r="H55" i="154"/>
  <c r="J55" i="154" s="1"/>
  <c r="L55" i="154" s="1"/>
  <c r="K54" i="154"/>
  <c r="J54" i="154"/>
  <c r="L54" i="154" s="1"/>
  <c r="H54" i="154"/>
  <c r="K53" i="154"/>
  <c r="H53" i="154"/>
  <c r="J53" i="154" s="1"/>
  <c r="L53" i="154" s="1"/>
  <c r="J52" i="154"/>
  <c r="H52" i="154"/>
  <c r="H51" i="154" s="1"/>
  <c r="K49" i="154"/>
  <c r="L49" i="154" s="1"/>
  <c r="J49" i="154"/>
  <c r="H49" i="154"/>
  <c r="J48" i="154"/>
  <c r="K48" i="154" s="1"/>
  <c r="L48" i="154" s="1"/>
  <c r="H48" i="154"/>
  <c r="K47" i="154"/>
  <c r="L47" i="154" s="1"/>
  <c r="J47" i="154"/>
  <c r="H47" i="154"/>
  <c r="J46" i="154"/>
  <c r="K46" i="154" s="1"/>
  <c r="L46" i="154" s="1"/>
  <c r="H46" i="154"/>
  <c r="J45" i="154"/>
  <c r="K45" i="154" s="1"/>
  <c r="L45" i="154" s="1"/>
  <c r="H45" i="154"/>
  <c r="S44" i="154"/>
  <c r="H44" i="154"/>
  <c r="J44" i="154" s="1"/>
  <c r="K44" i="154" s="1"/>
  <c r="L44" i="154" s="1"/>
  <c r="S43" i="154"/>
  <c r="L43" i="154"/>
  <c r="J43" i="154"/>
  <c r="K43" i="154" s="1"/>
  <c r="H43" i="154"/>
  <c r="S42" i="154"/>
  <c r="H42" i="154"/>
  <c r="J42" i="154" s="1"/>
  <c r="K42" i="154" s="1"/>
  <c r="L42" i="154" s="1"/>
  <c r="S41" i="154"/>
  <c r="L41" i="154"/>
  <c r="J41" i="154"/>
  <c r="K41" i="154" s="1"/>
  <c r="H41" i="154"/>
  <c r="S40" i="154"/>
  <c r="H40" i="154"/>
  <c r="J40" i="154" s="1"/>
  <c r="K40" i="154" s="1"/>
  <c r="L40" i="154" s="1"/>
  <c r="S39" i="154"/>
  <c r="H39" i="154"/>
  <c r="J39" i="154" s="1"/>
  <c r="K39" i="154" s="1"/>
  <c r="L39" i="154" s="1"/>
  <c r="S38" i="154"/>
  <c r="H38" i="154"/>
  <c r="J38" i="154" s="1"/>
  <c r="K38" i="154" s="1"/>
  <c r="L38" i="154" s="1"/>
  <c r="H36" i="154"/>
  <c r="J36" i="154" s="1"/>
  <c r="K36" i="154" s="1"/>
  <c r="L36" i="154" s="1"/>
  <c r="L35" i="154"/>
  <c r="K35" i="154"/>
  <c r="H35" i="154"/>
  <c r="J35" i="154" s="1"/>
  <c r="J34" i="154"/>
  <c r="K34" i="154" s="1"/>
  <c r="L34" i="154" s="1"/>
  <c r="H34" i="154"/>
  <c r="H32" i="154"/>
  <c r="J32" i="154" s="1"/>
  <c r="K32" i="154" s="1"/>
  <c r="L32" i="154" s="1"/>
  <c r="G32" i="154"/>
  <c r="G31" i="154"/>
  <c r="H31" i="154" s="1"/>
  <c r="J31" i="154" s="1"/>
  <c r="K31" i="154" s="1"/>
  <c r="L31" i="154" s="1"/>
  <c r="J30" i="154"/>
  <c r="K30" i="154" s="1"/>
  <c r="L30" i="154" s="1"/>
  <c r="K29" i="154"/>
  <c r="L29" i="154" s="1"/>
  <c r="J29" i="154"/>
  <c r="H29" i="154"/>
  <c r="K28" i="154"/>
  <c r="L28" i="154" s="1"/>
  <c r="J28" i="154"/>
  <c r="H28" i="154"/>
  <c r="K27" i="154"/>
  <c r="L27" i="154" s="1"/>
  <c r="J27" i="154"/>
  <c r="H27" i="154"/>
  <c r="K26" i="154"/>
  <c r="L26" i="154" s="1"/>
  <c r="J26" i="154"/>
  <c r="H26" i="154"/>
  <c r="K25" i="154"/>
  <c r="L25" i="154" s="1"/>
  <c r="J25" i="154"/>
  <c r="H25" i="154"/>
  <c r="K24" i="154"/>
  <c r="L24" i="154" s="1"/>
  <c r="J24" i="154"/>
  <c r="H24" i="154"/>
  <c r="K23" i="154"/>
  <c r="L23" i="154" s="1"/>
  <c r="J23" i="154"/>
  <c r="J22" i="154"/>
  <c r="K22" i="154" s="1"/>
  <c r="L22" i="154" s="1"/>
  <c r="H22" i="154"/>
  <c r="G22" i="154"/>
  <c r="G21" i="154"/>
  <c r="H21" i="154" s="1"/>
  <c r="J21" i="154" s="1"/>
  <c r="K21" i="154" s="1"/>
  <c r="L21" i="154" s="1"/>
  <c r="H20" i="154"/>
  <c r="J20" i="154" s="1"/>
  <c r="K20" i="154" s="1"/>
  <c r="L20" i="154" s="1"/>
  <c r="H19" i="154"/>
  <c r="J19" i="154" s="1"/>
  <c r="K19" i="154" s="1"/>
  <c r="L19" i="154" s="1"/>
  <c r="H18" i="154"/>
  <c r="J18" i="154" s="1"/>
  <c r="K18" i="154" s="1"/>
  <c r="L18" i="154" s="1"/>
  <c r="H17" i="154"/>
  <c r="J17" i="154" s="1"/>
  <c r="K17" i="154" s="1"/>
  <c r="L17" i="154" s="1"/>
  <c r="H16" i="154"/>
  <c r="J16" i="154" s="1"/>
  <c r="K16" i="154" s="1"/>
  <c r="L16" i="154" s="1"/>
  <c r="G15" i="154"/>
  <c r="H15" i="154" s="1"/>
  <c r="D9" i="154"/>
  <c r="L7" i="154"/>
  <c r="G7" i="154"/>
  <c r="C7" i="154"/>
  <c r="G5" i="154"/>
  <c r="C5" i="154"/>
  <c r="G3" i="154"/>
  <c r="C3" i="154"/>
  <c r="K55" i="153"/>
  <c r="J55" i="153"/>
  <c r="I55" i="153"/>
  <c r="G55" i="153"/>
  <c r="J54" i="153"/>
  <c r="I54" i="153"/>
  <c r="K54" i="153" s="1"/>
  <c r="G54" i="153"/>
  <c r="K53" i="153"/>
  <c r="J53" i="153"/>
  <c r="I53" i="153"/>
  <c r="G53" i="153"/>
  <c r="J52" i="153"/>
  <c r="I52" i="153"/>
  <c r="K52" i="153" s="1"/>
  <c r="G52" i="153"/>
  <c r="F51" i="153"/>
  <c r="G51" i="153" s="1"/>
  <c r="I51" i="153" s="1"/>
  <c r="F50" i="153"/>
  <c r="G50" i="153" s="1"/>
  <c r="I50" i="153" s="1"/>
  <c r="J50" i="153" s="1"/>
  <c r="G49" i="153"/>
  <c r="I49" i="153" s="1"/>
  <c r="F49" i="153"/>
  <c r="I48" i="153"/>
  <c r="K48" i="153" s="1"/>
  <c r="G48" i="153"/>
  <c r="F48" i="153"/>
  <c r="F47" i="153"/>
  <c r="G47" i="153" s="1"/>
  <c r="I47" i="153" s="1"/>
  <c r="K47" i="153" s="1"/>
  <c r="F46" i="153"/>
  <c r="G46" i="153" s="1"/>
  <c r="G45" i="153"/>
  <c r="I45" i="153" s="1"/>
  <c r="F45" i="153"/>
  <c r="I44" i="153"/>
  <c r="G44" i="153"/>
  <c r="F44" i="153"/>
  <c r="G41" i="153"/>
  <c r="I41" i="153" s="1"/>
  <c r="J41" i="153" s="1"/>
  <c r="F40" i="153"/>
  <c r="G40" i="153" s="1"/>
  <c r="I40" i="153" s="1"/>
  <c r="G39" i="153"/>
  <c r="I39" i="153" s="1"/>
  <c r="F39" i="153"/>
  <c r="I38" i="153"/>
  <c r="G38" i="153"/>
  <c r="F38" i="153"/>
  <c r="K37" i="153"/>
  <c r="J37" i="153"/>
  <c r="I37" i="153"/>
  <c r="G37" i="153"/>
  <c r="F36" i="153"/>
  <c r="G36" i="153" s="1"/>
  <c r="I36" i="153" s="1"/>
  <c r="K36" i="153" s="1"/>
  <c r="F35" i="153"/>
  <c r="G35" i="153" s="1"/>
  <c r="I35" i="153" s="1"/>
  <c r="G34" i="153"/>
  <c r="I34" i="153" s="1"/>
  <c r="G33" i="153"/>
  <c r="I33" i="153" s="1"/>
  <c r="G32" i="153"/>
  <c r="I32" i="153" s="1"/>
  <c r="G31" i="153"/>
  <c r="I31" i="153" s="1"/>
  <c r="F31" i="153"/>
  <c r="I30" i="153"/>
  <c r="K30" i="153" s="1"/>
  <c r="G30" i="153"/>
  <c r="F30" i="153"/>
  <c r="J29" i="153"/>
  <c r="F29" i="153"/>
  <c r="G29" i="153" s="1"/>
  <c r="I29" i="153" s="1"/>
  <c r="K29" i="153" s="1"/>
  <c r="F28" i="153"/>
  <c r="G28" i="153" s="1"/>
  <c r="I28" i="153" s="1"/>
  <c r="G27" i="153"/>
  <c r="I27" i="153" s="1"/>
  <c r="F27" i="153"/>
  <c r="I26" i="153"/>
  <c r="G26" i="153"/>
  <c r="F26" i="153"/>
  <c r="F25" i="153"/>
  <c r="G25" i="153" s="1"/>
  <c r="I25" i="153" s="1"/>
  <c r="F24" i="153"/>
  <c r="G24" i="153" s="1"/>
  <c r="I24" i="153" s="1"/>
  <c r="J24" i="153" s="1"/>
  <c r="G23" i="153"/>
  <c r="I23" i="153" s="1"/>
  <c r="F23" i="153"/>
  <c r="I22" i="153"/>
  <c r="K22" i="153" s="1"/>
  <c r="G22" i="153"/>
  <c r="F22" i="153"/>
  <c r="J21" i="153"/>
  <c r="F21" i="153"/>
  <c r="G21" i="153" s="1"/>
  <c r="I21" i="153" s="1"/>
  <c r="K21" i="153" s="1"/>
  <c r="F20" i="153"/>
  <c r="G20" i="153" s="1"/>
  <c r="I20" i="153" s="1"/>
  <c r="G19" i="153"/>
  <c r="I19" i="153" s="1"/>
  <c r="F19" i="153"/>
  <c r="I18" i="153"/>
  <c r="G18" i="153"/>
  <c r="I17" i="153"/>
  <c r="J17" i="153" s="1"/>
  <c r="F16" i="153"/>
  <c r="G16" i="153" s="1"/>
  <c r="G15" i="153"/>
  <c r="I15" i="153" s="1"/>
  <c r="F15" i="153"/>
  <c r="I14" i="153"/>
  <c r="G14" i="153"/>
  <c r="F14" i="153"/>
  <c r="D10" i="153"/>
  <c r="K7" i="153"/>
  <c r="F7" i="153"/>
  <c r="C7" i="153"/>
  <c r="F5" i="153"/>
  <c r="C5" i="153"/>
  <c r="F3" i="153"/>
  <c r="C3" i="153"/>
  <c r="I66" i="152"/>
  <c r="K66" i="152" s="1"/>
  <c r="G66" i="152"/>
  <c r="I65" i="152"/>
  <c r="G65" i="152"/>
  <c r="I64" i="152"/>
  <c r="K64" i="152" s="1"/>
  <c r="G64" i="152"/>
  <c r="I63" i="152"/>
  <c r="G63" i="152"/>
  <c r="I62" i="152"/>
  <c r="K62" i="152" s="1"/>
  <c r="G62" i="152"/>
  <c r="I61" i="152"/>
  <c r="G61" i="152"/>
  <c r="I60" i="152"/>
  <c r="K60" i="152" s="1"/>
  <c r="G60" i="152"/>
  <c r="I59" i="152"/>
  <c r="G59" i="152"/>
  <c r="I58" i="152"/>
  <c r="K58" i="152" s="1"/>
  <c r="G58" i="152"/>
  <c r="F58" i="152"/>
  <c r="J57" i="152"/>
  <c r="F57" i="152"/>
  <c r="G57" i="152" s="1"/>
  <c r="I57" i="152" s="1"/>
  <c r="G56" i="152"/>
  <c r="H56" i="152" s="1"/>
  <c r="I54" i="152"/>
  <c r="K54" i="152" s="1"/>
  <c r="G54" i="152"/>
  <c r="J53" i="152"/>
  <c r="O53" i="152" s="1"/>
  <c r="I53" i="152"/>
  <c r="K53" i="152" s="1"/>
  <c r="G53" i="152"/>
  <c r="G52" i="152"/>
  <c r="I52" i="152" s="1"/>
  <c r="G51" i="152"/>
  <c r="I51" i="152" s="1"/>
  <c r="I50" i="152"/>
  <c r="G50" i="152"/>
  <c r="K49" i="152"/>
  <c r="J49" i="152"/>
  <c r="P49" i="152" s="1"/>
  <c r="I49" i="152"/>
  <c r="G49" i="152"/>
  <c r="G48" i="152"/>
  <c r="I48" i="152" s="1"/>
  <c r="J48" i="152" s="1"/>
  <c r="P48" i="152" s="1"/>
  <c r="G47" i="152"/>
  <c r="I47" i="152" s="1"/>
  <c r="I46" i="152"/>
  <c r="K46" i="152" s="1"/>
  <c r="G46" i="152"/>
  <c r="J45" i="152"/>
  <c r="P45" i="152" s="1"/>
  <c r="I45" i="152"/>
  <c r="K45" i="152" s="1"/>
  <c r="G45" i="152"/>
  <c r="G44" i="152"/>
  <c r="I44" i="152" s="1"/>
  <c r="G43" i="152"/>
  <c r="I43" i="152" s="1"/>
  <c r="I42" i="152"/>
  <c r="G42" i="152"/>
  <c r="K41" i="152"/>
  <c r="J41" i="152"/>
  <c r="P41" i="152" s="1"/>
  <c r="I41" i="152"/>
  <c r="G41" i="152"/>
  <c r="K40" i="152"/>
  <c r="G40" i="152"/>
  <c r="I40" i="152" s="1"/>
  <c r="J40" i="152" s="1"/>
  <c r="P40" i="152" s="1"/>
  <c r="G39" i="152"/>
  <c r="I39" i="152" s="1"/>
  <c r="I38" i="152"/>
  <c r="K38" i="152" s="1"/>
  <c r="G38" i="152"/>
  <c r="J37" i="152"/>
  <c r="N37" i="152" s="1"/>
  <c r="I37" i="152"/>
  <c r="K37" i="152" s="1"/>
  <c r="G37" i="152"/>
  <c r="F36" i="152"/>
  <c r="G36" i="152" s="1"/>
  <c r="I36" i="152" s="1"/>
  <c r="I35" i="152"/>
  <c r="K35" i="152" s="1"/>
  <c r="G35" i="152"/>
  <c r="J34" i="152"/>
  <c r="N34" i="152" s="1"/>
  <c r="I34" i="152"/>
  <c r="K34" i="152" s="1"/>
  <c r="G34" i="152"/>
  <c r="G33" i="152"/>
  <c r="I33" i="152" s="1"/>
  <c r="G32" i="152"/>
  <c r="I32" i="152" s="1"/>
  <c r="I31" i="152"/>
  <c r="G31" i="152"/>
  <c r="K30" i="152"/>
  <c r="J30" i="152"/>
  <c r="N30" i="152" s="1"/>
  <c r="I30" i="152"/>
  <c r="G30" i="152"/>
  <c r="G29" i="152"/>
  <c r="I29" i="152" s="1"/>
  <c r="J29" i="152" s="1"/>
  <c r="N29" i="152" s="1"/>
  <c r="G28" i="152"/>
  <c r="I28" i="152" s="1"/>
  <c r="F28" i="152"/>
  <c r="F27" i="152"/>
  <c r="G27" i="152" s="1"/>
  <c r="I27" i="152" s="1"/>
  <c r="G26" i="152"/>
  <c r="I26" i="152" s="1"/>
  <c r="F26" i="152"/>
  <c r="F25" i="152"/>
  <c r="G25" i="152" s="1"/>
  <c r="I25" i="152" s="1"/>
  <c r="K25" i="152" s="1"/>
  <c r="G24" i="152"/>
  <c r="I24" i="152" s="1"/>
  <c r="I23" i="152"/>
  <c r="K23" i="152" s="1"/>
  <c r="G23" i="152"/>
  <c r="J22" i="152"/>
  <c r="M22" i="152" s="1"/>
  <c r="I22" i="152"/>
  <c r="K22" i="152" s="1"/>
  <c r="G22" i="152"/>
  <c r="G21" i="152"/>
  <c r="I21" i="152" s="1"/>
  <c r="G20" i="152"/>
  <c r="I20" i="152" s="1"/>
  <c r="I19" i="152"/>
  <c r="G19" i="152"/>
  <c r="F19" i="152"/>
  <c r="F18" i="152"/>
  <c r="G18" i="152" s="1"/>
  <c r="I18" i="152" s="1"/>
  <c r="I17" i="152"/>
  <c r="K17" i="152" s="1"/>
  <c r="G17" i="152"/>
  <c r="J16" i="152"/>
  <c r="M16" i="152" s="1"/>
  <c r="I16" i="152"/>
  <c r="K16" i="152" s="1"/>
  <c r="G16" i="152"/>
  <c r="F15" i="152"/>
  <c r="G15" i="152" s="1"/>
  <c r="I15" i="152" s="1"/>
  <c r="I14" i="152"/>
  <c r="K14" i="152" s="1"/>
  <c r="G14" i="152"/>
  <c r="F14" i="152"/>
  <c r="F13" i="152"/>
  <c r="G13" i="152" s="1"/>
  <c r="D9" i="152"/>
  <c r="K7" i="152"/>
  <c r="F7" i="152"/>
  <c r="C7" i="152"/>
  <c r="F5" i="152"/>
  <c r="C5" i="152"/>
  <c r="F3" i="152"/>
  <c r="C3" i="152"/>
  <c r="K66" i="151"/>
  <c r="J66" i="151"/>
  <c r="I66" i="151"/>
  <c r="G66" i="151"/>
  <c r="J65" i="151"/>
  <c r="I65" i="151"/>
  <c r="K65" i="151" s="1"/>
  <c r="G65" i="151"/>
  <c r="K64" i="151"/>
  <c r="J64" i="151"/>
  <c r="I64" i="151"/>
  <c r="G64" i="151"/>
  <c r="J63" i="151"/>
  <c r="I63" i="151"/>
  <c r="K63" i="151" s="1"/>
  <c r="G63" i="151"/>
  <c r="K62" i="151"/>
  <c r="J62" i="151"/>
  <c r="I62" i="151"/>
  <c r="G62" i="151"/>
  <c r="J61" i="151"/>
  <c r="I61" i="151"/>
  <c r="K61" i="151" s="1"/>
  <c r="G61" i="151"/>
  <c r="K60" i="151"/>
  <c r="J60" i="151"/>
  <c r="I60" i="151"/>
  <c r="G60" i="151"/>
  <c r="F59" i="151"/>
  <c r="G59" i="151" s="1"/>
  <c r="I59" i="151" s="1"/>
  <c r="K59" i="151" s="1"/>
  <c r="F58" i="151"/>
  <c r="G58" i="151" s="1"/>
  <c r="I58" i="151" s="1"/>
  <c r="G57" i="151"/>
  <c r="F57" i="151"/>
  <c r="K54" i="151"/>
  <c r="J54" i="151"/>
  <c r="I54" i="151"/>
  <c r="G54" i="151"/>
  <c r="J53" i="151"/>
  <c r="I53" i="151"/>
  <c r="K53" i="151" s="1"/>
  <c r="G53" i="151"/>
  <c r="K52" i="151"/>
  <c r="J52" i="151"/>
  <c r="I52" i="151"/>
  <c r="G52" i="151"/>
  <c r="J51" i="151"/>
  <c r="I51" i="151"/>
  <c r="K51" i="151" s="1"/>
  <c r="G51" i="151"/>
  <c r="K50" i="151"/>
  <c r="J50" i="151"/>
  <c r="I50" i="151"/>
  <c r="G50" i="151"/>
  <c r="J49" i="151"/>
  <c r="I49" i="151"/>
  <c r="K49" i="151" s="1"/>
  <c r="G49" i="151"/>
  <c r="K48" i="151"/>
  <c r="J48" i="151"/>
  <c r="I48" i="151"/>
  <c r="G48" i="151"/>
  <c r="J47" i="151"/>
  <c r="I47" i="151"/>
  <c r="K47" i="151" s="1"/>
  <c r="G47" i="151"/>
  <c r="K46" i="151"/>
  <c r="J46" i="151"/>
  <c r="I46" i="151"/>
  <c r="G46" i="151"/>
  <c r="J45" i="151"/>
  <c r="I45" i="151"/>
  <c r="K45" i="151" s="1"/>
  <c r="G45" i="151"/>
  <c r="K44" i="151"/>
  <c r="J44" i="151"/>
  <c r="I44" i="151"/>
  <c r="G44" i="151"/>
  <c r="J43" i="151"/>
  <c r="I43" i="151"/>
  <c r="K43" i="151" s="1"/>
  <c r="G43" i="151"/>
  <c r="K42" i="151"/>
  <c r="J42" i="151"/>
  <c r="I42" i="151"/>
  <c r="G42" i="151"/>
  <c r="J41" i="151"/>
  <c r="I41" i="151"/>
  <c r="K41" i="151" s="1"/>
  <c r="G41" i="151"/>
  <c r="K40" i="151"/>
  <c r="J40" i="151"/>
  <c r="I40" i="151"/>
  <c r="G40" i="151"/>
  <c r="J39" i="151"/>
  <c r="I39" i="151"/>
  <c r="K39" i="151" s="1"/>
  <c r="G39" i="151"/>
  <c r="K38" i="151"/>
  <c r="J38" i="151"/>
  <c r="I38" i="151"/>
  <c r="G38" i="151"/>
  <c r="J37" i="151"/>
  <c r="I37" i="151"/>
  <c r="K37" i="151" s="1"/>
  <c r="G37" i="151"/>
  <c r="K36" i="151"/>
  <c r="J36" i="151"/>
  <c r="I36" i="151"/>
  <c r="G36" i="151"/>
  <c r="F36" i="151"/>
  <c r="K35" i="151"/>
  <c r="G35" i="151"/>
  <c r="I35" i="151" s="1"/>
  <c r="J35" i="151" s="1"/>
  <c r="K34" i="151"/>
  <c r="J34" i="151"/>
  <c r="I34" i="151"/>
  <c r="G34" i="151"/>
  <c r="G33" i="151"/>
  <c r="I33" i="151" s="1"/>
  <c r="J33" i="151" s="1"/>
  <c r="K32" i="151"/>
  <c r="J32" i="151"/>
  <c r="I32" i="151"/>
  <c r="G32" i="151"/>
  <c r="G31" i="151"/>
  <c r="I31" i="151" s="1"/>
  <c r="J31" i="151" s="1"/>
  <c r="K30" i="151"/>
  <c r="J30" i="151"/>
  <c r="I30" i="151"/>
  <c r="G30" i="151"/>
  <c r="K29" i="151"/>
  <c r="G29" i="151"/>
  <c r="I29" i="151" s="1"/>
  <c r="J29" i="151" s="1"/>
  <c r="K28" i="151"/>
  <c r="J28" i="151"/>
  <c r="I28" i="151"/>
  <c r="G28" i="151"/>
  <c r="K27" i="151"/>
  <c r="G27" i="151"/>
  <c r="I27" i="151" s="1"/>
  <c r="J27" i="151" s="1"/>
  <c r="K26" i="151"/>
  <c r="J26" i="151"/>
  <c r="I26" i="151"/>
  <c r="G26" i="151"/>
  <c r="G25" i="151"/>
  <c r="I25" i="151" s="1"/>
  <c r="J25" i="151" s="1"/>
  <c r="K24" i="151"/>
  <c r="J24" i="151"/>
  <c r="I24" i="151"/>
  <c r="G24" i="151"/>
  <c r="G23" i="151"/>
  <c r="I23" i="151" s="1"/>
  <c r="J23" i="151" s="1"/>
  <c r="K22" i="151"/>
  <c r="J22" i="151"/>
  <c r="I22" i="151"/>
  <c r="G22" i="151"/>
  <c r="K21" i="151"/>
  <c r="G21" i="151"/>
  <c r="I21" i="151" s="1"/>
  <c r="J21" i="151" s="1"/>
  <c r="K20" i="151"/>
  <c r="J20" i="151"/>
  <c r="I20" i="151"/>
  <c r="G20" i="151"/>
  <c r="K19" i="151"/>
  <c r="G19" i="151"/>
  <c r="I19" i="151" s="1"/>
  <c r="J19" i="151" s="1"/>
  <c r="F18" i="151"/>
  <c r="G18" i="151" s="1"/>
  <c r="I18" i="151" s="1"/>
  <c r="G17" i="151"/>
  <c r="I17" i="151" s="1"/>
  <c r="G16" i="151"/>
  <c r="I16" i="151" s="1"/>
  <c r="G15" i="151"/>
  <c r="I15" i="151" s="1"/>
  <c r="G14" i="151"/>
  <c r="I14" i="151" s="1"/>
  <c r="G13" i="151"/>
  <c r="D9" i="151"/>
  <c r="K7" i="151"/>
  <c r="F7" i="151"/>
  <c r="C7" i="151"/>
  <c r="F5" i="151"/>
  <c r="C5" i="151"/>
  <c r="F3" i="151"/>
  <c r="C3" i="151"/>
  <c r="R91" i="150"/>
  <c r="R90" i="150"/>
  <c r="R89" i="150"/>
  <c r="R88" i="150"/>
  <c r="R87" i="150"/>
  <c r="R86" i="150"/>
  <c r="R85" i="150"/>
  <c r="R84" i="150"/>
  <c r="R83" i="150"/>
  <c r="R82" i="150"/>
  <c r="R81" i="150"/>
  <c r="R80" i="150"/>
  <c r="R79" i="150"/>
  <c r="R78" i="150"/>
  <c r="R77" i="150"/>
  <c r="R76" i="150"/>
  <c r="R68" i="150"/>
  <c r="R67" i="150"/>
  <c r="R66" i="150"/>
  <c r="R65" i="150"/>
  <c r="R64" i="150"/>
  <c r="R63" i="150"/>
  <c r="R62" i="150"/>
  <c r="R61" i="150"/>
  <c r="R60" i="150"/>
  <c r="R59" i="150"/>
  <c r="R58" i="150"/>
  <c r="R57" i="150"/>
  <c r="R56" i="150"/>
  <c r="R55" i="150"/>
  <c r="R54" i="150"/>
  <c r="R53" i="150"/>
  <c r="R45" i="150"/>
  <c r="R44" i="150"/>
  <c r="R43" i="150"/>
  <c r="R42" i="150"/>
  <c r="R41" i="150"/>
  <c r="R40" i="150"/>
  <c r="R39" i="150"/>
  <c r="R38" i="150"/>
  <c r="R37" i="150"/>
  <c r="R36" i="150"/>
  <c r="R35" i="150"/>
  <c r="R34" i="150"/>
  <c r="R33" i="150"/>
  <c r="R32" i="150"/>
  <c r="R31" i="150"/>
  <c r="R30" i="150"/>
  <c r="R22" i="150"/>
  <c r="R21" i="150"/>
  <c r="R20" i="150"/>
  <c r="R19" i="150"/>
  <c r="R18" i="150"/>
  <c r="R17" i="150"/>
  <c r="R16" i="150"/>
  <c r="R15" i="150"/>
  <c r="R14" i="150"/>
  <c r="R13" i="150"/>
  <c r="R12" i="150"/>
  <c r="R11" i="150"/>
  <c r="R10" i="150"/>
  <c r="R9" i="150"/>
  <c r="R8" i="150"/>
  <c r="R7" i="150"/>
  <c r="R23" i="150" s="1"/>
  <c r="R24" i="150" s="1"/>
  <c r="N2" i="150"/>
  <c r="H2" i="150"/>
  <c r="R91" i="149"/>
  <c r="R90" i="149"/>
  <c r="R89" i="149"/>
  <c r="R88" i="149"/>
  <c r="R87" i="149"/>
  <c r="R86" i="149"/>
  <c r="R85" i="149"/>
  <c r="R84" i="149"/>
  <c r="R83" i="149"/>
  <c r="R82" i="149"/>
  <c r="R81" i="149"/>
  <c r="R80" i="149"/>
  <c r="R79" i="149"/>
  <c r="R78" i="149"/>
  <c r="R77" i="149"/>
  <c r="R76" i="149"/>
  <c r="R92" i="149" s="1"/>
  <c r="R68" i="149"/>
  <c r="R67" i="149"/>
  <c r="R66" i="149"/>
  <c r="R65" i="149"/>
  <c r="R64" i="149"/>
  <c r="R63" i="149"/>
  <c r="R62" i="149"/>
  <c r="R61" i="149"/>
  <c r="R60" i="149"/>
  <c r="R59" i="149"/>
  <c r="R58" i="149"/>
  <c r="R57" i="149"/>
  <c r="R56" i="149"/>
  <c r="R55" i="149"/>
  <c r="R54" i="149"/>
  <c r="R53" i="149"/>
  <c r="R69" i="149" s="1"/>
  <c r="R45" i="149"/>
  <c r="R44" i="149"/>
  <c r="R43" i="149"/>
  <c r="R42" i="149"/>
  <c r="R41" i="149"/>
  <c r="R40" i="149"/>
  <c r="R39" i="149"/>
  <c r="R38" i="149"/>
  <c r="R37" i="149"/>
  <c r="R36" i="149"/>
  <c r="R35" i="149"/>
  <c r="R34" i="149"/>
  <c r="R33" i="149"/>
  <c r="R32" i="149"/>
  <c r="R31" i="149"/>
  <c r="R30" i="149"/>
  <c r="R46" i="149" s="1"/>
  <c r="R22" i="149"/>
  <c r="R21" i="149"/>
  <c r="R20" i="149"/>
  <c r="R19" i="149"/>
  <c r="R18" i="149"/>
  <c r="R17" i="149"/>
  <c r="R16" i="149"/>
  <c r="R15" i="149"/>
  <c r="R14" i="149"/>
  <c r="R13" i="149"/>
  <c r="R12" i="149"/>
  <c r="R11" i="149"/>
  <c r="R10" i="149"/>
  <c r="R9" i="149"/>
  <c r="R8" i="149"/>
  <c r="R7" i="149"/>
  <c r="N2" i="149"/>
  <c r="H2" i="149"/>
  <c r="R45" i="148"/>
  <c r="R44" i="148"/>
  <c r="R43" i="148"/>
  <c r="R42" i="148"/>
  <c r="R41" i="148"/>
  <c r="R40" i="148"/>
  <c r="R39" i="148"/>
  <c r="R38" i="148"/>
  <c r="R37" i="148"/>
  <c r="R36" i="148"/>
  <c r="R35" i="148"/>
  <c r="R34" i="148"/>
  <c r="R33" i="148"/>
  <c r="R32" i="148"/>
  <c r="R31" i="148"/>
  <c r="R30" i="148"/>
  <c r="R22" i="148"/>
  <c r="R21" i="148"/>
  <c r="R20" i="148"/>
  <c r="R19" i="148"/>
  <c r="R18" i="148"/>
  <c r="R17" i="148"/>
  <c r="R16" i="148"/>
  <c r="R15" i="148"/>
  <c r="R14" i="148"/>
  <c r="R13" i="148"/>
  <c r="R12" i="148"/>
  <c r="R11" i="148"/>
  <c r="R10" i="148"/>
  <c r="R9" i="148"/>
  <c r="R8" i="148"/>
  <c r="R7" i="148"/>
  <c r="N2" i="148"/>
  <c r="H2" i="148"/>
  <c r="K46" i="147"/>
  <c r="M46" i="147" s="1"/>
  <c r="K45" i="147"/>
  <c r="M45" i="147" s="1"/>
  <c r="K44" i="147"/>
  <c r="M44" i="147" s="1"/>
  <c r="K43" i="147"/>
  <c r="M43" i="147" s="1"/>
  <c r="K42" i="147"/>
  <c r="M42" i="147" s="1"/>
  <c r="K41" i="147"/>
  <c r="M41" i="147" s="1"/>
  <c r="K40" i="147"/>
  <c r="M40" i="147" s="1"/>
  <c r="K39" i="147"/>
  <c r="M39" i="147" s="1"/>
  <c r="K38" i="147"/>
  <c r="M38" i="147" s="1"/>
  <c r="J38" i="147"/>
  <c r="M37" i="147"/>
  <c r="K37" i="147"/>
  <c r="J37" i="147"/>
  <c r="J36" i="147"/>
  <c r="K36" i="147" s="1"/>
  <c r="M36" i="147" s="1"/>
  <c r="K32" i="147"/>
  <c r="M32" i="147" s="1"/>
  <c r="K31" i="147"/>
  <c r="M31" i="147" s="1"/>
  <c r="K30" i="147"/>
  <c r="M30" i="147" s="1"/>
  <c r="J30" i="147"/>
  <c r="M29" i="147"/>
  <c r="K29" i="147"/>
  <c r="M28" i="147"/>
  <c r="K28" i="147"/>
  <c r="J28" i="147"/>
  <c r="N27" i="147"/>
  <c r="M27" i="147"/>
  <c r="O27" i="147" s="1"/>
  <c r="K27" i="147"/>
  <c r="N26" i="147"/>
  <c r="M26" i="147"/>
  <c r="O26" i="147" s="1"/>
  <c r="K26" i="147"/>
  <c r="K25" i="147"/>
  <c r="M25" i="147" s="1"/>
  <c r="O25" i="147" s="1"/>
  <c r="N24" i="147"/>
  <c r="M24" i="147"/>
  <c r="O24" i="147" s="1"/>
  <c r="K24" i="147"/>
  <c r="K23" i="147"/>
  <c r="M23" i="147" s="1"/>
  <c r="O23" i="147" s="1"/>
  <c r="N22" i="147"/>
  <c r="M22" i="147"/>
  <c r="O22" i="147" s="1"/>
  <c r="K22" i="147"/>
  <c r="K21" i="147"/>
  <c r="M21" i="147" s="1"/>
  <c r="O21" i="147" s="1"/>
  <c r="N20" i="147"/>
  <c r="M20" i="147"/>
  <c r="O20" i="147" s="1"/>
  <c r="K20" i="147"/>
  <c r="N19" i="147"/>
  <c r="K19" i="147"/>
  <c r="M19" i="147" s="1"/>
  <c r="O19" i="147" s="1"/>
  <c r="N18" i="147"/>
  <c r="M18" i="147"/>
  <c r="O18" i="147" s="1"/>
  <c r="K18" i="147"/>
  <c r="N17" i="147"/>
  <c r="K17" i="147"/>
  <c r="M17" i="147" s="1"/>
  <c r="O17" i="147" s="1"/>
  <c r="N16" i="147"/>
  <c r="M16" i="147"/>
  <c r="O16" i="147" s="1"/>
  <c r="K16" i="147"/>
  <c r="K15" i="147"/>
  <c r="N14" i="147"/>
  <c r="M14" i="147"/>
  <c r="O14" i="147" s="1"/>
  <c r="K14" i="147"/>
  <c r="L12" i="147"/>
  <c r="I12" i="147"/>
  <c r="G12" i="147" s="1"/>
  <c r="H12" i="147" s="1"/>
  <c r="E12" i="147"/>
  <c r="E9" i="147"/>
  <c r="O7" i="147"/>
  <c r="H7" i="147"/>
  <c r="D7" i="147"/>
  <c r="H5" i="147"/>
  <c r="D5" i="147"/>
  <c r="H3" i="147"/>
  <c r="D3" i="147"/>
  <c r="K37" i="146"/>
  <c r="M37" i="146" s="1"/>
  <c r="N36" i="146"/>
  <c r="K36" i="146"/>
  <c r="M36" i="146" s="1"/>
  <c r="O36" i="146" s="1"/>
  <c r="K35" i="146"/>
  <c r="M35" i="146" s="1"/>
  <c r="N34" i="146"/>
  <c r="K34" i="146"/>
  <c r="M34" i="146" s="1"/>
  <c r="O34" i="146" s="1"/>
  <c r="K33" i="146"/>
  <c r="M33" i="146" s="1"/>
  <c r="N32" i="146"/>
  <c r="K32" i="146"/>
  <c r="M32" i="146" s="1"/>
  <c r="O32" i="146" s="1"/>
  <c r="K31" i="146"/>
  <c r="M31" i="146" s="1"/>
  <c r="N30" i="146"/>
  <c r="K30" i="146"/>
  <c r="M30" i="146" s="1"/>
  <c r="O30" i="146" s="1"/>
  <c r="K29" i="146"/>
  <c r="M29" i="146" s="1"/>
  <c r="J29" i="146"/>
  <c r="M28" i="146"/>
  <c r="N28" i="146" s="1"/>
  <c r="K28" i="146"/>
  <c r="J28" i="146"/>
  <c r="N27" i="146"/>
  <c r="K27" i="146"/>
  <c r="M27" i="146" s="1"/>
  <c r="J27" i="146"/>
  <c r="N23" i="146"/>
  <c r="K23" i="146"/>
  <c r="M23" i="146" s="1"/>
  <c r="O23" i="146" s="1"/>
  <c r="K22" i="146"/>
  <c r="M22" i="146" s="1"/>
  <c r="N21" i="146"/>
  <c r="K21" i="146"/>
  <c r="M21" i="146" s="1"/>
  <c r="O21" i="146" s="1"/>
  <c r="K20" i="146"/>
  <c r="M20" i="146" s="1"/>
  <c r="K19" i="146"/>
  <c r="M19" i="146" s="1"/>
  <c r="O19" i="146" s="1"/>
  <c r="K18" i="146"/>
  <c r="M18" i="146" s="1"/>
  <c r="K17" i="146"/>
  <c r="M17" i="146" s="1"/>
  <c r="O17" i="146" s="1"/>
  <c r="K16" i="146"/>
  <c r="M16" i="146" s="1"/>
  <c r="K15" i="146"/>
  <c r="M15" i="146" s="1"/>
  <c r="O15" i="146" s="1"/>
  <c r="K14" i="146"/>
  <c r="L12" i="146"/>
  <c r="I12" i="146"/>
  <c r="G12" i="146"/>
  <c r="E12" i="146"/>
  <c r="E9" i="146"/>
  <c r="O7" i="146"/>
  <c r="H7" i="146"/>
  <c r="D7" i="146"/>
  <c r="H5" i="146"/>
  <c r="D5" i="146"/>
  <c r="H3" i="146"/>
  <c r="D3" i="146"/>
  <c r="H62" i="145"/>
  <c r="J62" i="145" s="1"/>
  <c r="L62" i="145" s="1"/>
  <c r="K61" i="145"/>
  <c r="J61" i="145"/>
  <c r="L61" i="145" s="1"/>
  <c r="H61" i="145"/>
  <c r="K60" i="145"/>
  <c r="H60" i="145"/>
  <c r="J60" i="145" s="1"/>
  <c r="L60" i="145" s="1"/>
  <c r="K59" i="145"/>
  <c r="J59" i="145"/>
  <c r="L59" i="145" s="1"/>
  <c r="H59" i="145"/>
  <c r="K58" i="145"/>
  <c r="H58" i="145"/>
  <c r="J58" i="145" s="1"/>
  <c r="L58" i="145" s="1"/>
  <c r="K57" i="145"/>
  <c r="J57" i="145"/>
  <c r="L57" i="145" s="1"/>
  <c r="H57" i="145"/>
  <c r="K56" i="145"/>
  <c r="H56" i="145"/>
  <c r="J56" i="145" s="1"/>
  <c r="L56" i="145" s="1"/>
  <c r="K55" i="145"/>
  <c r="J55" i="145"/>
  <c r="L55" i="145" s="1"/>
  <c r="H55" i="145"/>
  <c r="H54" i="145"/>
  <c r="K53" i="145"/>
  <c r="J53" i="145"/>
  <c r="H53" i="145"/>
  <c r="L50" i="145"/>
  <c r="K50" i="145"/>
  <c r="J50" i="145"/>
  <c r="H50" i="145"/>
  <c r="L49" i="145"/>
  <c r="J49" i="145"/>
  <c r="K49" i="145" s="1"/>
  <c r="H49" i="145"/>
  <c r="L48" i="145"/>
  <c r="K48" i="145"/>
  <c r="J48" i="145"/>
  <c r="H48" i="145"/>
  <c r="J47" i="145"/>
  <c r="K47" i="145" s="1"/>
  <c r="L47" i="145" s="1"/>
  <c r="H47" i="145"/>
  <c r="L46" i="145"/>
  <c r="K46" i="145"/>
  <c r="J46" i="145"/>
  <c r="H46" i="145"/>
  <c r="L45" i="145"/>
  <c r="J45" i="145"/>
  <c r="K45" i="145" s="1"/>
  <c r="H45" i="145"/>
  <c r="L44" i="145"/>
  <c r="K44" i="145"/>
  <c r="J44" i="145"/>
  <c r="H44" i="145"/>
  <c r="L43" i="145"/>
  <c r="J43" i="145"/>
  <c r="K43" i="145" s="1"/>
  <c r="H43" i="145"/>
  <c r="L42" i="145"/>
  <c r="K42" i="145"/>
  <c r="J42" i="145"/>
  <c r="H42" i="145"/>
  <c r="J41" i="145"/>
  <c r="K41" i="145" s="1"/>
  <c r="L41" i="145" s="1"/>
  <c r="H41" i="145"/>
  <c r="L40" i="145"/>
  <c r="K40" i="145"/>
  <c r="J40" i="145"/>
  <c r="H40" i="145"/>
  <c r="L39" i="145"/>
  <c r="J39" i="145"/>
  <c r="K39" i="145" s="1"/>
  <c r="H39" i="145"/>
  <c r="L37" i="145"/>
  <c r="K37" i="145"/>
  <c r="J37" i="145"/>
  <c r="H37" i="145"/>
  <c r="J36" i="145"/>
  <c r="K36" i="145" s="1"/>
  <c r="L36" i="145" s="1"/>
  <c r="H36" i="145"/>
  <c r="L35" i="145"/>
  <c r="K35" i="145"/>
  <c r="J35" i="145"/>
  <c r="H35" i="145"/>
  <c r="H33" i="145"/>
  <c r="J33" i="145" s="1"/>
  <c r="K33" i="145" s="1"/>
  <c r="L33" i="145" s="1"/>
  <c r="G33" i="145"/>
  <c r="L32" i="145"/>
  <c r="J32" i="145"/>
  <c r="K32" i="145" s="1"/>
  <c r="H32" i="145"/>
  <c r="G32" i="145"/>
  <c r="K31" i="145"/>
  <c r="L31" i="145" s="1"/>
  <c r="J31" i="145"/>
  <c r="J30" i="145"/>
  <c r="K30" i="145" s="1"/>
  <c r="L30" i="145" s="1"/>
  <c r="H30" i="145"/>
  <c r="J29" i="145"/>
  <c r="K29" i="145" s="1"/>
  <c r="L29" i="145" s="1"/>
  <c r="H29" i="145"/>
  <c r="J28" i="145"/>
  <c r="K28" i="145" s="1"/>
  <c r="L28" i="145" s="1"/>
  <c r="H28" i="145"/>
  <c r="J27" i="145"/>
  <c r="K27" i="145" s="1"/>
  <c r="L27" i="145" s="1"/>
  <c r="H27" i="145"/>
  <c r="L26" i="145"/>
  <c r="J26" i="145"/>
  <c r="K26" i="145" s="1"/>
  <c r="H26" i="145"/>
  <c r="J25" i="145"/>
  <c r="K25" i="145" s="1"/>
  <c r="L25" i="145" s="1"/>
  <c r="H25" i="145"/>
  <c r="L24" i="145"/>
  <c r="K24" i="145"/>
  <c r="G23" i="145"/>
  <c r="H23" i="145" s="1"/>
  <c r="J23" i="145" s="1"/>
  <c r="K23" i="145" s="1"/>
  <c r="L23" i="145" s="1"/>
  <c r="H22" i="145"/>
  <c r="J22" i="145" s="1"/>
  <c r="K22" i="145" s="1"/>
  <c r="L22" i="145" s="1"/>
  <c r="G22" i="145"/>
  <c r="G21" i="145"/>
  <c r="H21" i="145" s="1"/>
  <c r="J21" i="145" s="1"/>
  <c r="K21" i="145" s="1"/>
  <c r="L21" i="145" s="1"/>
  <c r="K20" i="145"/>
  <c r="L20" i="145" s="1"/>
  <c r="J20" i="145"/>
  <c r="H20" i="145"/>
  <c r="G20" i="145"/>
  <c r="G19" i="145"/>
  <c r="H19" i="145" s="1"/>
  <c r="J19" i="145" s="1"/>
  <c r="K19" i="145" s="1"/>
  <c r="L19" i="145" s="1"/>
  <c r="H18" i="145"/>
  <c r="J18" i="145" s="1"/>
  <c r="K18" i="145" s="1"/>
  <c r="L18" i="145" s="1"/>
  <c r="G18" i="145"/>
  <c r="J17" i="145"/>
  <c r="K17" i="145" s="1"/>
  <c r="L17" i="145" s="1"/>
  <c r="H17" i="145"/>
  <c r="G17" i="145"/>
  <c r="H16" i="145"/>
  <c r="J16" i="145" s="1"/>
  <c r="K16" i="145" s="1"/>
  <c r="L16" i="145" s="1"/>
  <c r="G16" i="145"/>
  <c r="G15" i="145"/>
  <c r="H15" i="145" s="1"/>
  <c r="D9" i="145"/>
  <c r="L7" i="145"/>
  <c r="G7" i="145"/>
  <c r="C7" i="145"/>
  <c r="G5" i="145"/>
  <c r="C5" i="145"/>
  <c r="G3" i="145"/>
  <c r="C3" i="145"/>
  <c r="K61" i="144"/>
  <c r="J61" i="144"/>
  <c r="L61" i="144" s="1"/>
  <c r="H61" i="144"/>
  <c r="H60" i="144"/>
  <c r="J60" i="144" s="1"/>
  <c r="L60" i="144" s="1"/>
  <c r="J59" i="144"/>
  <c r="L59" i="144" s="1"/>
  <c r="H59" i="144"/>
  <c r="H58" i="144"/>
  <c r="J58" i="144" s="1"/>
  <c r="L58" i="144" s="1"/>
  <c r="J57" i="144"/>
  <c r="L57" i="144" s="1"/>
  <c r="H57" i="144"/>
  <c r="H56" i="144"/>
  <c r="J56" i="144" s="1"/>
  <c r="L56" i="144" s="1"/>
  <c r="J55" i="144"/>
  <c r="L55" i="144" s="1"/>
  <c r="H55" i="144"/>
  <c r="H54" i="144"/>
  <c r="J54" i="144" s="1"/>
  <c r="L54" i="144" s="1"/>
  <c r="K53" i="144"/>
  <c r="J53" i="144"/>
  <c r="L53" i="144" s="1"/>
  <c r="H53" i="144"/>
  <c r="H52" i="144"/>
  <c r="J49" i="144"/>
  <c r="K49" i="144" s="1"/>
  <c r="L49" i="144" s="1"/>
  <c r="H49" i="144"/>
  <c r="L48" i="144"/>
  <c r="K48" i="144"/>
  <c r="J48" i="144"/>
  <c r="H48" i="144"/>
  <c r="J47" i="144"/>
  <c r="K47" i="144" s="1"/>
  <c r="L47" i="144" s="1"/>
  <c r="H47" i="144"/>
  <c r="K46" i="144"/>
  <c r="L46" i="144" s="1"/>
  <c r="J46" i="144"/>
  <c r="H46" i="144"/>
  <c r="L45" i="144"/>
  <c r="J45" i="144"/>
  <c r="K45" i="144" s="1"/>
  <c r="H45" i="144"/>
  <c r="S44" i="144"/>
  <c r="H44" i="144"/>
  <c r="J44" i="144" s="1"/>
  <c r="K44" i="144" s="1"/>
  <c r="L44" i="144" s="1"/>
  <c r="S43" i="144"/>
  <c r="J43" i="144"/>
  <c r="K43" i="144" s="1"/>
  <c r="L43" i="144" s="1"/>
  <c r="H43" i="144"/>
  <c r="S42" i="144"/>
  <c r="K42" i="144"/>
  <c r="L42" i="144" s="1"/>
  <c r="H42" i="144"/>
  <c r="J42" i="144" s="1"/>
  <c r="S41" i="144"/>
  <c r="K41" i="144"/>
  <c r="L41" i="144" s="1"/>
  <c r="J41" i="144"/>
  <c r="H41" i="144"/>
  <c r="S40" i="144"/>
  <c r="K40" i="144"/>
  <c r="L40" i="144" s="1"/>
  <c r="H40" i="144"/>
  <c r="J40" i="144" s="1"/>
  <c r="S39" i="144"/>
  <c r="J39" i="144"/>
  <c r="K39" i="144" s="1"/>
  <c r="L39" i="144" s="1"/>
  <c r="H39" i="144"/>
  <c r="S38" i="144"/>
  <c r="J38" i="144"/>
  <c r="K38" i="144" s="1"/>
  <c r="L38" i="144" s="1"/>
  <c r="H38" i="144"/>
  <c r="K36" i="144"/>
  <c r="L36" i="144" s="1"/>
  <c r="H36" i="144"/>
  <c r="J36" i="144" s="1"/>
  <c r="J35" i="144"/>
  <c r="K35" i="144" s="1"/>
  <c r="L35" i="144" s="1"/>
  <c r="H35" i="144"/>
  <c r="H34" i="144"/>
  <c r="J34" i="144" s="1"/>
  <c r="K34" i="144" s="1"/>
  <c r="L34" i="144" s="1"/>
  <c r="G32" i="144"/>
  <c r="H32" i="144" s="1"/>
  <c r="J32" i="144" s="1"/>
  <c r="K32" i="144" s="1"/>
  <c r="L32" i="144" s="1"/>
  <c r="H31" i="144"/>
  <c r="J31" i="144" s="1"/>
  <c r="K31" i="144" s="1"/>
  <c r="L31" i="144" s="1"/>
  <c r="G31" i="144"/>
  <c r="K30" i="144"/>
  <c r="L30" i="144" s="1"/>
  <c r="J30" i="144"/>
  <c r="K29" i="144"/>
  <c r="L29" i="144" s="1"/>
  <c r="H29" i="144"/>
  <c r="J29" i="144" s="1"/>
  <c r="H28" i="144"/>
  <c r="J28" i="144" s="1"/>
  <c r="K28" i="144" s="1"/>
  <c r="L28" i="144" s="1"/>
  <c r="H27" i="144"/>
  <c r="J27" i="144" s="1"/>
  <c r="K27" i="144" s="1"/>
  <c r="L27" i="144" s="1"/>
  <c r="H26" i="144"/>
  <c r="J26" i="144" s="1"/>
  <c r="K26" i="144" s="1"/>
  <c r="L26" i="144" s="1"/>
  <c r="H25" i="144"/>
  <c r="J25" i="144" s="1"/>
  <c r="K25" i="144" s="1"/>
  <c r="L25" i="144" s="1"/>
  <c r="J24" i="144"/>
  <c r="K24" i="144" s="1"/>
  <c r="L24" i="144" s="1"/>
  <c r="H24" i="144"/>
  <c r="K23" i="144"/>
  <c r="L23" i="144" s="1"/>
  <c r="J23" i="144"/>
  <c r="H22" i="144"/>
  <c r="J22" i="144" s="1"/>
  <c r="K22" i="144" s="1"/>
  <c r="L22" i="144" s="1"/>
  <c r="G22" i="144"/>
  <c r="G21" i="144"/>
  <c r="H21" i="144" s="1"/>
  <c r="J21" i="144" s="1"/>
  <c r="K21" i="144" s="1"/>
  <c r="L21" i="144" s="1"/>
  <c r="H20" i="144"/>
  <c r="J20" i="144" s="1"/>
  <c r="K20" i="144" s="1"/>
  <c r="L20" i="144" s="1"/>
  <c r="H19" i="144"/>
  <c r="J19" i="144" s="1"/>
  <c r="K19" i="144" s="1"/>
  <c r="L19" i="144" s="1"/>
  <c r="H18" i="144"/>
  <c r="J18" i="144" s="1"/>
  <c r="K18" i="144" s="1"/>
  <c r="L18" i="144" s="1"/>
  <c r="H17" i="144"/>
  <c r="J17" i="144" s="1"/>
  <c r="K17" i="144" s="1"/>
  <c r="L17" i="144" s="1"/>
  <c r="H16" i="144"/>
  <c r="J16" i="144" s="1"/>
  <c r="K16" i="144" s="1"/>
  <c r="L16" i="144" s="1"/>
  <c r="H15" i="144"/>
  <c r="G15" i="144"/>
  <c r="D9" i="144"/>
  <c r="L7" i="144"/>
  <c r="G7" i="144"/>
  <c r="C7" i="144"/>
  <c r="G5" i="144"/>
  <c r="C5" i="144"/>
  <c r="G3" i="144"/>
  <c r="C3" i="144"/>
  <c r="G55" i="143"/>
  <c r="I55" i="143" s="1"/>
  <c r="K54" i="143"/>
  <c r="I54" i="143"/>
  <c r="J54" i="143" s="1"/>
  <c r="G54" i="143"/>
  <c r="G53" i="143"/>
  <c r="I53" i="143" s="1"/>
  <c r="K52" i="143"/>
  <c r="I52" i="143"/>
  <c r="J52" i="143" s="1"/>
  <c r="G52" i="143"/>
  <c r="F51" i="143"/>
  <c r="G51" i="143" s="1"/>
  <c r="I51" i="143" s="1"/>
  <c r="F50" i="143"/>
  <c r="G50" i="143" s="1"/>
  <c r="I50" i="143" s="1"/>
  <c r="F49" i="143"/>
  <c r="G49" i="143" s="1"/>
  <c r="I49" i="143" s="1"/>
  <c r="F48" i="143"/>
  <c r="G48" i="143" s="1"/>
  <c r="I48" i="143" s="1"/>
  <c r="F47" i="143"/>
  <c r="G47" i="143" s="1"/>
  <c r="G46" i="143"/>
  <c r="I46" i="143" s="1"/>
  <c r="F46" i="143"/>
  <c r="G45" i="143"/>
  <c r="I45" i="143" s="1"/>
  <c r="F45" i="143"/>
  <c r="G44" i="143"/>
  <c r="I44" i="143" s="1"/>
  <c r="F44" i="143"/>
  <c r="G41" i="143"/>
  <c r="I41" i="143" s="1"/>
  <c r="G40" i="143"/>
  <c r="I40" i="143" s="1"/>
  <c r="F40" i="143"/>
  <c r="G39" i="143"/>
  <c r="I39" i="143" s="1"/>
  <c r="F39" i="143"/>
  <c r="G38" i="143"/>
  <c r="I38" i="143" s="1"/>
  <c r="F38" i="143"/>
  <c r="G37" i="143"/>
  <c r="I37" i="143" s="1"/>
  <c r="F36" i="143"/>
  <c r="G36" i="143" s="1"/>
  <c r="I36" i="143" s="1"/>
  <c r="G35" i="143"/>
  <c r="I35" i="143" s="1"/>
  <c r="F35" i="143"/>
  <c r="G34" i="143"/>
  <c r="I34" i="143" s="1"/>
  <c r="I33" i="143"/>
  <c r="K33" i="143" s="1"/>
  <c r="G33" i="143"/>
  <c r="G32" i="143"/>
  <c r="I32" i="143" s="1"/>
  <c r="F31" i="143"/>
  <c r="G31" i="143" s="1"/>
  <c r="I31" i="143" s="1"/>
  <c r="F30" i="143"/>
  <c r="G30" i="143" s="1"/>
  <c r="I30" i="143" s="1"/>
  <c r="F29" i="143"/>
  <c r="G29" i="143" s="1"/>
  <c r="I29" i="143" s="1"/>
  <c r="G28" i="143"/>
  <c r="I28" i="143" s="1"/>
  <c r="F28" i="143"/>
  <c r="G27" i="143"/>
  <c r="I27" i="143" s="1"/>
  <c r="F27" i="143"/>
  <c r="G26" i="143"/>
  <c r="I26" i="143" s="1"/>
  <c r="F26" i="143"/>
  <c r="F25" i="143"/>
  <c r="G25" i="143" s="1"/>
  <c r="I25" i="143" s="1"/>
  <c r="F24" i="143"/>
  <c r="G24" i="143" s="1"/>
  <c r="I24" i="143" s="1"/>
  <c r="F23" i="143"/>
  <c r="G23" i="143" s="1"/>
  <c r="I23" i="143" s="1"/>
  <c r="F22" i="143"/>
  <c r="G22" i="143" s="1"/>
  <c r="I22" i="143" s="1"/>
  <c r="F21" i="143"/>
  <c r="G21" i="143" s="1"/>
  <c r="G20" i="143"/>
  <c r="I20" i="143" s="1"/>
  <c r="F20" i="143"/>
  <c r="G19" i="143"/>
  <c r="I19" i="143" s="1"/>
  <c r="F19" i="143"/>
  <c r="G18" i="143"/>
  <c r="I18" i="143" s="1"/>
  <c r="I17" i="143"/>
  <c r="J17" i="143" s="1"/>
  <c r="G16" i="143"/>
  <c r="F16" i="143"/>
  <c r="G15" i="143"/>
  <c r="I15" i="143" s="1"/>
  <c r="F15" i="143"/>
  <c r="G14" i="143"/>
  <c r="I14" i="143" s="1"/>
  <c r="F14" i="143"/>
  <c r="D10" i="143"/>
  <c r="K7" i="143"/>
  <c r="F7" i="143"/>
  <c r="C7" i="143"/>
  <c r="F5" i="143"/>
  <c r="C5" i="143"/>
  <c r="F3" i="143"/>
  <c r="C3" i="143"/>
  <c r="I66" i="142"/>
  <c r="K66" i="142" s="1"/>
  <c r="G66" i="142"/>
  <c r="G65" i="142"/>
  <c r="I65" i="142" s="1"/>
  <c r="I64" i="142"/>
  <c r="K64" i="142" s="1"/>
  <c r="G64" i="142"/>
  <c r="G63" i="142"/>
  <c r="I63" i="142" s="1"/>
  <c r="I62" i="142"/>
  <c r="K62" i="142" s="1"/>
  <c r="G62" i="142"/>
  <c r="G61" i="142"/>
  <c r="I61" i="142" s="1"/>
  <c r="I60" i="142"/>
  <c r="K60" i="142" s="1"/>
  <c r="G60" i="142"/>
  <c r="G59" i="142"/>
  <c r="I59" i="142" s="1"/>
  <c r="F58" i="142"/>
  <c r="G58" i="142" s="1"/>
  <c r="I58" i="142" s="1"/>
  <c r="F57" i="142"/>
  <c r="G57" i="142" s="1"/>
  <c r="I54" i="142"/>
  <c r="K54" i="142" s="1"/>
  <c r="G54" i="142"/>
  <c r="K53" i="142"/>
  <c r="I53" i="142"/>
  <c r="J53" i="142" s="1"/>
  <c r="O53" i="142" s="1"/>
  <c r="G53" i="142"/>
  <c r="G52" i="142"/>
  <c r="I52" i="142" s="1"/>
  <c r="G51" i="142"/>
  <c r="I51" i="142" s="1"/>
  <c r="G50" i="142"/>
  <c r="I50" i="142" s="1"/>
  <c r="G49" i="142"/>
  <c r="I49" i="142" s="1"/>
  <c r="G48" i="142"/>
  <c r="I48" i="142" s="1"/>
  <c r="I47" i="142"/>
  <c r="K47" i="142" s="1"/>
  <c r="G47" i="142"/>
  <c r="I46" i="142"/>
  <c r="K46" i="142" s="1"/>
  <c r="G46" i="142"/>
  <c r="K45" i="142"/>
  <c r="I45" i="142"/>
  <c r="J45" i="142" s="1"/>
  <c r="P45" i="142" s="1"/>
  <c r="G45" i="142"/>
  <c r="G44" i="142"/>
  <c r="I44" i="142" s="1"/>
  <c r="G43" i="142"/>
  <c r="I43" i="142" s="1"/>
  <c r="G42" i="142"/>
  <c r="I42" i="142" s="1"/>
  <c r="G41" i="142"/>
  <c r="I41" i="142" s="1"/>
  <c r="G40" i="142"/>
  <c r="I40" i="142" s="1"/>
  <c r="I39" i="142"/>
  <c r="K39" i="142" s="1"/>
  <c r="G39" i="142"/>
  <c r="I38" i="142"/>
  <c r="K38" i="142" s="1"/>
  <c r="G38" i="142"/>
  <c r="K37" i="142"/>
  <c r="I37" i="142"/>
  <c r="J37" i="142" s="1"/>
  <c r="N37" i="142" s="1"/>
  <c r="G37" i="142"/>
  <c r="G36" i="142"/>
  <c r="I36" i="142" s="1"/>
  <c r="F36" i="142"/>
  <c r="I35" i="142"/>
  <c r="K35" i="142" s="1"/>
  <c r="G35" i="142"/>
  <c r="K34" i="142"/>
  <c r="I34" i="142"/>
  <c r="J34" i="142" s="1"/>
  <c r="N34" i="142" s="1"/>
  <c r="G34" i="142"/>
  <c r="G33" i="142"/>
  <c r="I33" i="142" s="1"/>
  <c r="G32" i="142"/>
  <c r="I32" i="142" s="1"/>
  <c r="G31" i="142"/>
  <c r="I31" i="142" s="1"/>
  <c r="G30" i="142"/>
  <c r="I30" i="142" s="1"/>
  <c r="G29" i="142"/>
  <c r="I29" i="142" s="1"/>
  <c r="F28" i="142"/>
  <c r="G28" i="142" s="1"/>
  <c r="I28" i="142" s="1"/>
  <c r="F27" i="142"/>
  <c r="G27" i="142" s="1"/>
  <c r="I27" i="142" s="1"/>
  <c r="G26" i="142"/>
  <c r="I26" i="142" s="1"/>
  <c r="F26" i="142"/>
  <c r="F25" i="142"/>
  <c r="G25" i="142" s="1"/>
  <c r="I25" i="142" s="1"/>
  <c r="I24" i="142"/>
  <c r="K24" i="142" s="1"/>
  <c r="G24" i="142"/>
  <c r="I23" i="142"/>
  <c r="K23" i="142" s="1"/>
  <c r="G23" i="142"/>
  <c r="K22" i="142"/>
  <c r="I22" i="142"/>
  <c r="J22" i="142" s="1"/>
  <c r="M22" i="142" s="1"/>
  <c r="G22" i="142"/>
  <c r="G21" i="142"/>
  <c r="I21" i="142" s="1"/>
  <c r="G20" i="142"/>
  <c r="I20" i="142" s="1"/>
  <c r="G19" i="142"/>
  <c r="I19" i="142" s="1"/>
  <c r="F19" i="142"/>
  <c r="G18" i="142"/>
  <c r="I18" i="142" s="1"/>
  <c r="F18" i="142"/>
  <c r="I17" i="142"/>
  <c r="K17" i="142" s="1"/>
  <c r="G17" i="142"/>
  <c r="K16" i="142"/>
  <c r="I16" i="142"/>
  <c r="J16" i="142" s="1"/>
  <c r="M16" i="142" s="1"/>
  <c r="G16" i="142"/>
  <c r="G15" i="142"/>
  <c r="I15" i="142" s="1"/>
  <c r="F15" i="142"/>
  <c r="F14" i="142"/>
  <c r="G14" i="142" s="1"/>
  <c r="I14" i="142" s="1"/>
  <c r="F13" i="142"/>
  <c r="G13" i="142" s="1"/>
  <c r="D9" i="142"/>
  <c r="K7" i="142"/>
  <c r="F7" i="142"/>
  <c r="C7" i="142"/>
  <c r="F5" i="142"/>
  <c r="C5" i="142"/>
  <c r="F3" i="142"/>
  <c r="C3" i="142"/>
  <c r="G66" i="141"/>
  <c r="I66" i="141" s="1"/>
  <c r="K65" i="141"/>
  <c r="I65" i="141"/>
  <c r="J65" i="141" s="1"/>
  <c r="G65" i="141"/>
  <c r="G64" i="141"/>
  <c r="I64" i="141" s="1"/>
  <c r="K63" i="141"/>
  <c r="I63" i="141"/>
  <c r="J63" i="141" s="1"/>
  <c r="G63" i="141"/>
  <c r="G62" i="141"/>
  <c r="I62" i="141" s="1"/>
  <c r="K61" i="141"/>
  <c r="I61" i="141"/>
  <c r="J61" i="141" s="1"/>
  <c r="G61" i="141"/>
  <c r="G60" i="141"/>
  <c r="I60" i="141" s="1"/>
  <c r="F59" i="141"/>
  <c r="G59" i="141" s="1"/>
  <c r="I59" i="141" s="1"/>
  <c r="G58" i="141"/>
  <c r="I58" i="141" s="1"/>
  <c r="F58" i="141"/>
  <c r="G57" i="141"/>
  <c r="F57" i="141"/>
  <c r="G54" i="141"/>
  <c r="I54" i="141" s="1"/>
  <c r="K53" i="141"/>
  <c r="I53" i="141"/>
  <c r="J53" i="141" s="1"/>
  <c r="G53" i="141"/>
  <c r="G52" i="141"/>
  <c r="I52" i="141" s="1"/>
  <c r="K51" i="141"/>
  <c r="I51" i="141"/>
  <c r="J51" i="141" s="1"/>
  <c r="G51" i="141"/>
  <c r="G50" i="141"/>
  <c r="I50" i="141" s="1"/>
  <c r="K49" i="141"/>
  <c r="I49" i="141"/>
  <c r="J49" i="141" s="1"/>
  <c r="G49" i="141"/>
  <c r="G48" i="141"/>
  <c r="I48" i="141" s="1"/>
  <c r="K47" i="141"/>
  <c r="I47" i="141"/>
  <c r="J47" i="141" s="1"/>
  <c r="G47" i="141"/>
  <c r="G46" i="141"/>
  <c r="I46" i="141" s="1"/>
  <c r="K45" i="141"/>
  <c r="I45" i="141"/>
  <c r="J45" i="141" s="1"/>
  <c r="G45" i="141"/>
  <c r="G44" i="141"/>
  <c r="I44" i="141" s="1"/>
  <c r="K43" i="141"/>
  <c r="I43" i="141"/>
  <c r="J43" i="141" s="1"/>
  <c r="G43" i="141"/>
  <c r="G42" i="141"/>
  <c r="I42" i="141" s="1"/>
  <c r="K41" i="141"/>
  <c r="I41" i="141"/>
  <c r="J41" i="141" s="1"/>
  <c r="G41" i="141"/>
  <c r="G40" i="141"/>
  <c r="I40" i="141" s="1"/>
  <c r="K39" i="141"/>
  <c r="I39" i="141"/>
  <c r="J39" i="141" s="1"/>
  <c r="G39" i="141"/>
  <c r="G38" i="141"/>
  <c r="I38" i="141" s="1"/>
  <c r="K37" i="141"/>
  <c r="I37" i="141"/>
  <c r="J37" i="141" s="1"/>
  <c r="G37" i="141"/>
  <c r="F36" i="141"/>
  <c r="G36" i="141" s="1"/>
  <c r="I36" i="141" s="1"/>
  <c r="G35" i="141"/>
  <c r="I35" i="141" s="1"/>
  <c r="G34" i="141"/>
  <c r="I34" i="141" s="1"/>
  <c r="G33" i="141"/>
  <c r="I33" i="141" s="1"/>
  <c r="G32" i="141"/>
  <c r="I32" i="141" s="1"/>
  <c r="G31" i="141"/>
  <c r="I31" i="141" s="1"/>
  <c r="G30" i="141"/>
  <c r="I30" i="141" s="1"/>
  <c r="G29" i="141"/>
  <c r="I29" i="141" s="1"/>
  <c r="G28" i="141"/>
  <c r="I28" i="141" s="1"/>
  <c r="G27" i="141"/>
  <c r="I27" i="141" s="1"/>
  <c r="G26" i="141"/>
  <c r="I26" i="141" s="1"/>
  <c r="G25" i="141"/>
  <c r="I25" i="141" s="1"/>
  <c r="G24" i="141"/>
  <c r="I24" i="141" s="1"/>
  <c r="G23" i="141"/>
  <c r="I23" i="141" s="1"/>
  <c r="G22" i="141"/>
  <c r="I22" i="141" s="1"/>
  <c r="G21" i="141"/>
  <c r="I21" i="141" s="1"/>
  <c r="G20" i="141"/>
  <c r="I20" i="141" s="1"/>
  <c r="G19" i="141"/>
  <c r="I19" i="141" s="1"/>
  <c r="G18" i="141"/>
  <c r="I18" i="141" s="1"/>
  <c r="F18" i="141"/>
  <c r="G17" i="141"/>
  <c r="I17" i="141" s="1"/>
  <c r="I16" i="141"/>
  <c r="K16" i="141" s="1"/>
  <c r="G16" i="141"/>
  <c r="G15" i="141"/>
  <c r="I15" i="141" s="1"/>
  <c r="I14" i="141"/>
  <c r="K14" i="141" s="1"/>
  <c r="G14" i="141"/>
  <c r="G13" i="141"/>
  <c r="D9" i="141"/>
  <c r="K7" i="141"/>
  <c r="F7" i="141"/>
  <c r="C7" i="141"/>
  <c r="F5" i="141"/>
  <c r="C5" i="141"/>
  <c r="F3" i="141"/>
  <c r="C3" i="141"/>
  <c r="R91" i="140"/>
  <c r="R90" i="140"/>
  <c r="R89" i="140"/>
  <c r="R88" i="140"/>
  <c r="R87" i="140"/>
  <c r="R86" i="140"/>
  <c r="R85" i="140"/>
  <c r="R84" i="140"/>
  <c r="R83" i="140"/>
  <c r="R82" i="140"/>
  <c r="R81" i="140"/>
  <c r="R80" i="140"/>
  <c r="R79" i="140"/>
  <c r="R78" i="140"/>
  <c r="R77" i="140"/>
  <c r="R76" i="140"/>
  <c r="R92" i="140" s="1"/>
  <c r="R68" i="140"/>
  <c r="R67" i="140"/>
  <c r="R66" i="140"/>
  <c r="R65" i="140"/>
  <c r="R64" i="140"/>
  <c r="R63" i="140"/>
  <c r="R62" i="140"/>
  <c r="R61" i="140"/>
  <c r="R60" i="140"/>
  <c r="R59" i="140"/>
  <c r="R58" i="140"/>
  <c r="R57" i="140"/>
  <c r="R56" i="140"/>
  <c r="R55" i="140"/>
  <c r="R54" i="140"/>
  <c r="R53" i="140"/>
  <c r="R69" i="140" s="1"/>
  <c r="R45" i="140"/>
  <c r="R44" i="140"/>
  <c r="R43" i="140"/>
  <c r="R42" i="140"/>
  <c r="R41" i="140"/>
  <c r="R40" i="140"/>
  <c r="R39" i="140"/>
  <c r="R38" i="140"/>
  <c r="R37" i="140"/>
  <c r="R36" i="140"/>
  <c r="R35" i="140"/>
  <c r="R34" i="140"/>
  <c r="R33" i="140"/>
  <c r="R32" i="140"/>
  <c r="R31" i="140"/>
  <c r="R30" i="140"/>
  <c r="R46" i="140" s="1"/>
  <c r="R22" i="140"/>
  <c r="R21" i="140"/>
  <c r="R20" i="140"/>
  <c r="R19" i="140"/>
  <c r="R18" i="140"/>
  <c r="R17" i="140"/>
  <c r="R16" i="140"/>
  <c r="R15" i="140"/>
  <c r="R14" i="140"/>
  <c r="R13" i="140"/>
  <c r="R12" i="140"/>
  <c r="R11" i="140"/>
  <c r="R10" i="140"/>
  <c r="R9" i="140"/>
  <c r="R8" i="140"/>
  <c r="R7" i="140"/>
  <c r="R23" i="140" s="1"/>
  <c r="N2" i="140"/>
  <c r="H2" i="140"/>
  <c r="R91" i="139"/>
  <c r="R90" i="139"/>
  <c r="R89" i="139"/>
  <c r="R88" i="139"/>
  <c r="R87" i="139"/>
  <c r="R86" i="139"/>
  <c r="R85" i="139"/>
  <c r="R84" i="139"/>
  <c r="R83" i="139"/>
  <c r="R82" i="139"/>
  <c r="R81" i="139"/>
  <c r="R80" i="139"/>
  <c r="R79" i="139"/>
  <c r="R78" i="139"/>
  <c r="R77" i="139"/>
  <c r="R76" i="139"/>
  <c r="R92" i="139" s="1"/>
  <c r="R68" i="139"/>
  <c r="R67" i="139"/>
  <c r="R66" i="139"/>
  <c r="R65" i="139"/>
  <c r="R64" i="139"/>
  <c r="R63" i="139"/>
  <c r="R62" i="139"/>
  <c r="R61" i="139"/>
  <c r="R60" i="139"/>
  <c r="R59" i="139"/>
  <c r="R58" i="139"/>
  <c r="R57" i="139"/>
  <c r="R56" i="139"/>
  <c r="R55" i="139"/>
  <c r="R54" i="139"/>
  <c r="R53" i="139"/>
  <c r="R69" i="139" s="1"/>
  <c r="R45" i="139"/>
  <c r="R44" i="139"/>
  <c r="R43" i="139"/>
  <c r="R42" i="139"/>
  <c r="R41" i="139"/>
  <c r="R40" i="139"/>
  <c r="R39" i="139"/>
  <c r="R38" i="139"/>
  <c r="R37" i="139"/>
  <c r="R36" i="139"/>
  <c r="R35" i="139"/>
  <c r="R34" i="139"/>
  <c r="R33" i="139"/>
  <c r="R32" i="139"/>
  <c r="R31" i="139"/>
  <c r="R30" i="139"/>
  <c r="R46" i="139" s="1"/>
  <c r="R22" i="139"/>
  <c r="R21" i="139"/>
  <c r="R20" i="139"/>
  <c r="R19" i="139"/>
  <c r="R18" i="139"/>
  <c r="R17" i="139"/>
  <c r="R16" i="139"/>
  <c r="R15" i="139"/>
  <c r="R14" i="139"/>
  <c r="R13" i="139"/>
  <c r="R12" i="139"/>
  <c r="R11" i="139"/>
  <c r="R10" i="139"/>
  <c r="R9" i="139"/>
  <c r="R8" i="139"/>
  <c r="R7" i="139"/>
  <c r="R23" i="139" s="1"/>
  <c r="N2" i="139"/>
  <c r="H2" i="139"/>
  <c r="R45" i="138"/>
  <c r="R44" i="138"/>
  <c r="R43" i="138"/>
  <c r="R42" i="138"/>
  <c r="R41" i="138"/>
  <c r="R40" i="138"/>
  <c r="R39" i="138"/>
  <c r="R38" i="138"/>
  <c r="R37" i="138"/>
  <c r="R36" i="138"/>
  <c r="R35" i="138"/>
  <c r="R34" i="138"/>
  <c r="R33" i="138"/>
  <c r="R32" i="138"/>
  <c r="R31" i="138"/>
  <c r="R30" i="138"/>
  <c r="R46" i="138" s="1"/>
  <c r="R22" i="138"/>
  <c r="R21" i="138"/>
  <c r="R20" i="138"/>
  <c r="R19" i="138"/>
  <c r="R18" i="138"/>
  <c r="R17" i="138"/>
  <c r="R16" i="138"/>
  <c r="R15" i="138"/>
  <c r="R14" i="138"/>
  <c r="R13" i="138"/>
  <c r="R12" i="138"/>
  <c r="R11" i="138"/>
  <c r="R10" i="138"/>
  <c r="R9" i="138"/>
  <c r="R8" i="138"/>
  <c r="R7" i="138"/>
  <c r="R23" i="138" s="1"/>
  <c r="N2" i="138"/>
  <c r="H2" i="138"/>
  <c r="K46" i="137"/>
  <c r="M46" i="137" s="1"/>
  <c r="M45" i="137"/>
  <c r="O45" i="137" s="1"/>
  <c r="K45" i="137"/>
  <c r="K44" i="137"/>
  <c r="M44" i="137" s="1"/>
  <c r="M43" i="137"/>
  <c r="O43" i="137" s="1"/>
  <c r="K43" i="137"/>
  <c r="K42" i="137"/>
  <c r="M42" i="137" s="1"/>
  <c r="M41" i="137"/>
  <c r="O41" i="137" s="1"/>
  <c r="K41" i="137"/>
  <c r="K40" i="137"/>
  <c r="M40" i="137" s="1"/>
  <c r="M39" i="137"/>
  <c r="O39" i="137" s="1"/>
  <c r="K39" i="137"/>
  <c r="K38" i="137"/>
  <c r="M38" i="137" s="1"/>
  <c r="J38" i="137"/>
  <c r="K37" i="137"/>
  <c r="M37" i="137" s="1"/>
  <c r="J37" i="137"/>
  <c r="J36" i="137"/>
  <c r="K36" i="137" s="1"/>
  <c r="M32" i="137"/>
  <c r="O32" i="137" s="1"/>
  <c r="K32" i="137"/>
  <c r="K31" i="137"/>
  <c r="M31" i="137" s="1"/>
  <c r="J30" i="137"/>
  <c r="K30" i="137" s="1"/>
  <c r="M29" i="137"/>
  <c r="O29" i="137" s="1"/>
  <c r="K29" i="137"/>
  <c r="K28" i="137"/>
  <c r="M28" i="137" s="1"/>
  <c r="J28" i="137"/>
  <c r="K27" i="137"/>
  <c r="M27" i="137" s="1"/>
  <c r="O26" i="137"/>
  <c r="M26" i="137"/>
  <c r="N26" i="137" s="1"/>
  <c r="K26" i="137"/>
  <c r="K25" i="137"/>
  <c r="M25" i="137" s="1"/>
  <c r="O24" i="137"/>
  <c r="M24" i="137"/>
  <c r="N24" i="137" s="1"/>
  <c r="K24" i="137"/>
  <c r="K23" i="137"/>
  <c r="M23" i="137" s="1"/>
  <c r="O22" i="137"/>
  <c r="M22" i="137"/>
  <c r="N22" i="137" s="1"/>
  <c r="K22" i="137"/>
  <c r="K21" i="137"/>
  <c r="M21" i="137" s="1"/>
  <c r="O20" i="137"/>
  <c r="M20" i="137"/>
  <c r="N20" i="137" s="1"/>
  <c r="K20" i="137"/>
  <c r="K19" i="137"/>
  <c r="M19" i="137" s="1"/>
  <c r="O18" i="137"/>
  <c r="M18" i="137"/>
  <c r="N18" i="137" s="1"/>
  <c r="K18" i="137"/>
  <c r="K17" i="137"/>
  <c r="M17" i="137" s="1"/>
  <c r="O16" i="137"/>
  <c r="M16" i="137"/>
  <c r="N16" i="137" s="1"/>
  <c r="K16" i="137"/>
  <c r="K15" i="137"/>
  <c r="M15" i="137" s="1"/>
  <c r="O14" i="137"/>
  <c r="M14" i="137"/>
  <c r="N14" i="137" s="1"/>
  <c r="K14" i="137"/>
  <c r="L12" i="137"/>
  <c r="I12" i="137"/>
  <c r="G12" i="137" s="1"/>
  <c r="H12" i="137" s="1"/>
  <c r="E12" i="137"/>
  <c r="E9" i="137"/>
  <c r="O7" i="137"/>
  <c r="H7" i="137"/>
  <c r="D7" i="137"/>
  <c r="H5" i="137"/>
  <c r="D5" i="137"/>
  <c r="H3" i="137"/>
  <c r="D3" i="137"/>
  <c r="K37" i="136"/>
  <c r="M37" i="136" s="1"/>
  <c r="M36" i="136"/>
  <c r="O36" i="136" s="1"/>
  <c r="K36" i="136"/>
  <c r="K35" i="136"/>
  <c r="M35" i="136" s="1"/>
  <c r="M34" i="136"/>
  <c r="K34" i="136"/>
  <c r="K33" i="136"/>
  <c r="M33" i="136" s="1"/>
  <c r="M32" i="136"/>
  <c r="K32" i="136"/>
  <c r="K31" i="136"/>
  <c r="M31" i="136" s="1"/>
  <c r="M30" i="136"/>
  <c r="K30" i="136"/>
  <c r="K29" i="136"/>
  <c r="M29" i="136" s="1"/>
  <c r="J29" i="136"/>
  <c r="N28" i="136"/>
  <c r="K28" i="136"/>
  <c r="M28" i="136" s="1"/>
  <c r="O28" i="136" s="1"/>
  <c r="J28" i="136"/>
  <c r="J27" i="136"/>
  <c r="K27" i="136" s="1"/>
  <c r="M23" i="136"/>
  <c r="K23" i="136"/>
  <c r="K22" i="136"/>
  <c r="M22" i="136" s="1"/>
  <c r="M21" i="136"/>
  <c r="K21" i="136"/>
  <c r="K20" i="136"/>
  <c r="M20" i="136" s="1"/>
  <c r="M19" i="136"/>
  <c r="K19" i="136"/>
  <c r="K18" i="136"/>
  <c r="M18" i="136" s="1"/>
  <c r="M17" i="136"/>
  <c r="K17" i="136"/>
  <c r="K16" i="136"/>
  <c r="M16" i="136" s="1"/>
  <c r="M15" i="136"/>
  <c r="K15" i="136"/>
  <c r="K14" i="136"/>
  <c r="L12" i="136" s="1"/>
  <c r="I12" i="136"/>
  <c r="G12" i="136"/>
  <c r="E12" i="136"/>
  <c r="H12" i="136" s="1"/>
  <c r="E9" i="136"/>
  <c r="O7" i="136"/>
  <c r="H7" i="136"/>
  <c r="D7" i="136"/>
  <c r="H5" i="136"/>
  <c r="D5" i="136"/>
  <c r="H3" i="136"/>
  <c r="D3" i="136"/>
  <c r="H62" i="135"/>
  <c r="J62" i="135" s="1"/>
  <c r="L61" i="135"/>
  <c r="J61" i="135"/>
  <c r="K61" i="135" s="1"/>
  <c r="H61" i="135"/>
  <c r="H60" i="135"/>
  <c r="J60" i="135" s="1"/>
  <c r="L59" i="135"/>
  <c r="J59" i="135"/>
  <c r="K59" i="135" s="1"/>
  <c r="H59" i="135"/>
  <c r="H58" i="135"/>
  <c r="J58" i="135" s="1"/>
  <c r="L57" i="135"/>
  <c r="J57" i="135"/>
  <c r="K57" i="135" s="1"/>
  <c r="H57" i="135"/>
  <c r="H56" i="135"/>
  <c r="J56" i="135" s="1"/>
  <c r="L55" i="135"/>
  <c r="J55" i="135"/>
  <c r="K55" i="135" s="1"/>
  <c r="H55" i="135"/>
  <c r="H54" i="135"/>
  <c r="J54" i="135" s="1"/>
  <c r="L53" i="135"/>
  <c r="J53" i="135"/>
  <c r="K53" i="135" s="1"/>
  <c r="H53" i="135"/>
  <c r="H52" i="135"/>
  <c r="K50" i="135"/>
  <c r="L50" i="135" s="1"/>
  <c r="J50" i="135"/>
  <c r="H50" i="135"/>
  <c r="H49" i="135"/>
  <c r="J49" i="135" s="1"/>
  <c r="K49" i="135" s="1"/>
  <c r="L49" i="135" s="1"/>
  <c r="K48" i="135"/>
  <c r="L48" i="135" s="1"/>
  <c r="J48" i="135"/>
  <c r="H48" i="135"/>
  <c r="H47" i="135"/>
  <c r="J47" i="135" s="1"/>
  <c r="K47" i="135" s="1"/>
  <c r="L47" i="135" s="1"/>
  <c r="K46" i="135"/>
  <c r="L46" i="135" s="1"/>
  <c r="J46" i="135"/>
  <c r="H46" i="135"/>
  <c r="H45" i="135"/>
  <c r="J45" i="135" s="1"/>
  <c r="K45" i="135" s="1"/>
  <c r="L45" i="135" s="1"/>
  <c r="K44" i="135"/>
  <c r="L44" i="135" s="1"/>
  <c r="J44" i="135"/>
  <c r="H44" i="135"/>
  <c r="H43" i="135"/>
  <c r="J43" i="135" s="1"/>
  <c r="K43" i="135" s="1"/>
  <c r="L43" i="135" s="1"/>
  <c r="K42" i="135"/>
  <c r="L42" i="135" s="1"/>
  <c r="J42" i="135"/>
  <c r="H42" i="135"/>
  <c r="H41" i="135"/>
  <c r="J41" i="135" s="1"/>
  <c r="K41" i="135" s="1"/>
  <c r="L41" i="135" s="1"/>
  <c r="K40" i="135"/>
  <c r="L40" i="135" s="1"/>
  <c r="J40" i="135"/>
  <c r="H40" i="135"/>
  <c r="H39" i="135"/>
  <c r="J39" i="135" s="1"/>
  <c r="K39" i="135" s="1"/>
  <c r="L39" i="135" s="1"/>
  <c r="K37" i="135"/>
  <c r="L37" i="135" s="1"/>
  <c r="J37" i="135"/>
  <c r="H37" i="135"/>
  <c r="H36" i="135"/>
  <c r="J36" i="135" s="1"/>
  <c r="K36" i="135" s="1"/>
  <c r="L36" i="135" s="1"/>
  <c r="K35" i="135"/>
  <c r="L35" i="135" s="1"/>
  <c r="J35" i="135"/>
  <c r="H35" i="135"/>
  <c r="H33" i="135"/>
  <c r="J33" i="135" s="1"/>
  <c r="K33" i="135" s="1"/>
  <c r="L33" i="135" s="1"/>
  <c r="G33" i="135"/>
  <c r="H32" i="135"/>
  <c r="J32" i="135" s="1"/>
  <c r="K32" i="135" s="1"/>
  <c r="L32" i="135" s="1"/>
  <c r="G32" i="135"/>
  <c r="K31" i="135"/>
  <c r="L31" i="135" s="1"/>
  <c r="J31" i="135"/>
  <c r="H30" i="135"/>
  <c r="J30" i="135" s="1"/>
  <c r="K30" i="135" s="1"/>
  <c r="L30" i="135" s="1"/>
  <c r="J29" i="135"/>
  <c r="K29" i="135" s="1"/>
  <c r="L29" i="135" s="1"/>
  <c r="H29" i="135"/>
  <c r="H28" i="135"/>
  <c r="J28" i="135" s="1"/>
  <c r="K28" i="135" s="1"/>
  <c r="L28" i="135" s="1"/>
  <c r="J27" i="135"/>
  <c r="K27" i="135" s="1"/>
  <c r="L27" i="135" s="1"/>
  <c r="H27" i="135"/>
  <c r="H26" i="135"/>
  <c r="J26" i="135" s="1"/>
  <c r="K26" i="135" s="1"/>
  <c r="L26" i="135" s="1"/>
  <c r="J25" i="135"/>
  <c r="K25" i="135" s="1"/>
  <c r="L25" i="135" s="1"/>
  <c r="H25" i="135"/>
  <c r="K24" i="135"/>
  <c r="L24" i="135" s="1"/>
  <c r="G23" i="135"/>
  <c r="H23" i="135" s="1"/>
  <c r="J23" i="135" s="1"/>
  <c r="K23" i="135" s="1"/>
  <c r="L23" i="135" s="1"/>
  <c r="G22" i="135"/>
  <c r="H22" i="135" s="1"/>
  <c r="J22" i="135" s="1"/>
  <c r="K22" i="135" s="1"/>
  <c r="L22" i="135" s="1"/>
  <c r="G21" i="135"/>
  <c r="H21" i="135" s="1"/>
  <c r="J21" i="135" s="1"/>
  <c r="K21" i="135" s="1"/>
  <c r="L21" i="135" s="1"/>
  <c r="L20" i="135"/>
  <c r="J20" i="135"/>
  <c r="K20" i="135" s="1"/>
  <c r="H20" i="135"/>
  <c r="G20" i="135"/>
  <c r="H19" i="135"/>
  <c r="J19" i="135" s="1"/>
  <c r="K19" i="135" s="1"/>
  <c r="L19" i="135" s="1"/>
  <c r="G19" i="135"/>
  <c r="H18" i="135"/>
  <c r="J18" i="135" s="1"/>
  <c r="K18" i="135" s="1"/>
  <c r="L18" i="135" s="1"/>
  <c r="G18" i="135"/>
  <c r="K17" i="135"/>
  <c r="L17" i="135" s="1"/>
  <c r="H17" i="135"/>
  <c r="J17" i="135" s="1"/>
  <c r="G17" i="135"/>
  <c r="K16" i="135"/>
  <c r="L16" i="135" s="1"/>
  <c r="G16" i="135"/>
  <c r="H16" i="135" s="1"/>
  <c r="J16" i="135" s="1"/>
  <c r="G15" i="135"/>
  <c r="H15" i="135" s="1"/>
  <c r="D9" i="135"/>
  <c r="L7" i="135"/>
  <c r="G7" i="135"/>
  <c r="C7" i="135"/>
  <c r="G5" i="135"/>
  <c r="C5" i="135"/>
  <c r="G3" i="135"/>
  <c r="C3" i="135"/>
  <c r="J61" i="134"/>
  <c r="K61" i="134" s="1"/>
  <c r="H61" i="134"/>
  <c r="K60" i="134"/>
  <c r="J60" i="134"/>
  <c r="L60" i="134" s="1"/>
  <c r="H60" i="134"/>
  <c r="J59" i="134"/>
  <c r="K59" i="134" s="1"/>
  <c r="H59" i="134"/>
  <c r="H58" i="134"/>
  <c r="J58" i="134" s="1"/>
  <c r="H57" i="134"/>
  <c r="J57" i="134" s="1"/>
  <c r="K56" i="134"/>
  <c r="H56" i="134"/>
  <c r="J56" i="134" s="1"/>
  <c r="L56" i="134" s="1"/>
  <c r="H55" i="134"/>
  <c r="J55" i="134" s="1"/>
  <c r="H54" i="134"/>
  <c r="J54" i="134" s="1"/>
  <c r="J53" i="134"/>
  <c r="K53" i="134" s="1"/>
  <c r="H53" i="134"/>
  <c r="J52" i="134"/>
  <c r="L52" i="134" s="1"/>
  <c r="H52" i="134"/>
  <c r="H49" i="134"/>
  <c r="J49" i="134" s="1"/>
  <c r="K49" i="134" s="1"/>
  <c r="L49" i="134" s="1"/>
  <c r="J48" i="134"/>
  <c r="K48" i="134" s="1"/>
  <c r="L48" i="134" s="1"/>
  <c r="H48" i="134"/>
  <c r="H47" i="134"/>
  <c r="J47" i="134" s="1"/>
  <c r="K47" i="134" s="1"/>
  <c r="L47" i="134" s="1"/>
  <c r="K46" i="134"/>
  <c r="L46" i="134" s="1"/>
  <c r="J46" i="134"/>
  <c r="H46" i="134"/>
  <c r="J45" i="134"/>
  <c r="K45" i="134" s="1"/>
  <c r="L45" i="134" s="1"/>
  <c r="H45" i="134"/>
  <c r="S44" i="134"/>
  <c r="H44" i="134"/>
  <c r="J44" i="134" s="1"/>
  <c r="K44" i="134" s="1"/>
  <c r="L44" i="134" s="1"/>
  <c r="S43" i="134"/>
  <c r="K43" i="134"/>
  <c r="L43" i="134" s="1"/>
  <c r="H43" i="134"/>
  <c r="J43" i="134" s="1"/>
  <c r="S42" i="134"/>
  <c r="H42" i="134"/>
  <c r="J42" i="134" s="1"/>
  <c r="K42" i="134" s="1"/>
  <c r="L42" i="134" s="1"/>
  <c r="S41" i="134"/>
  <c r="J41" i="134"/>
  <c r="K41" i="134" s="1"/>
  <c r="L41" i="134" s="1"/>
  <c r="H41" i="134"/>
  <c r="S40" i="134"/>
  <c r="J40" i="134"/>
  <c r="K40" i="134" s="1"/>
  <c r="L40" i="134" s="1"/>
  <c r="H40" i="134"/>
  <c r="S39" i="134"/>
  <c r="H39" i="134"/>
  <c r="J39" i="134" s="1"/>
  <c r="K39" i="134" s="1"/>
  <c r="L39" i="134" s="1"/>
  <c r="S38" i="134"/>
  <c r="H38" i="134"/>
  <c r="J38" i="134" s="1"/>
  <c r="K38" i="134" s="1"/>
  <c r="L38" i="134" s="1"/>
  <c r="J36" i="134"/>
  <c r="K36" i="134" s="1"/>
  <c r="L36" i="134" s="1"/>
  <c r="H36" i="134"/>
  <c r="J35" i="134"/>
  <c r="K35" i="134" s="1"/>
  <c r="L35" i="134" s="1"/>
  <c r="H35" i="134"/>
  <c r="J34" i="134"/>
  <c r="K34" i="134" s="1"/>
  <c r="L34" i="134" s="1"/>
  <c r="H34" i="134"/>
  <c r="J32" i="134"/>
  <c r="K32" i="134" s="1"/>
  <c r="L32" i="134" s="1"/>
  <c r="H32" i="134"/>
  <c r="G32" i="134"/>
  <c r="G31" i="134"/>
  <c r="H31" i="134" s="1"/>
  <c r="J31" i="134" s="1"/>
  <c r="K31" i="134" s="1"/>
  <c r="L31" i="134" s="1"/>
  <c r="K30" i="134"/>
  <c r="L30" i="134" s="1"/>
  <c r="J30" i="134"/>
  <c r="K29" i="134"/>
  <c r="L29" i="134" s="1"/>
  <c r="H29" i="134"/>
  <c r="J29" i="134" s="1"/>
  <c r="K28" i="134"/>
  <c r="L28" i="134" s="1"/>
  <c r="J28" i="134"/>
  <c r="H28" i="134"/>
  <c r="L27" i="134"/>
  <c r="H27" i="134"/>
  <c r="J27" i="134" s="1"/>
  <c r="K27" i="134" s="1"/>
  <c r="J26" i="134"/>
  <c r="K26" i="134" s="1"/>
  <c r="L26" i="134" s="1"/>
  <c r="H26" i="134"/>
  <c r="K25" i="134"/>
  <c r="L25" i="134" s="1"/>
  <c r="H25" i="134"/>
  <c r="J25" i="134" s="1"/>
  <c r="J24" i="134"/>
  <c r="K24" i="134" s="1"/>
  <c r="L24" i="134" s="1"/>
  <c r="H24" i="134"/>
  <c r="K23" i="134"/>
  <c r="L23" i="134" s="1"/>
  <c r="J23" i="134"/>
  <c r="H22" i="134"/>
  <c r="J22" i="134" s="1"/>
  <c r="K22" i="134" s="1"/>
  <c r="L22" i="134" s="1"/>
  <c r="G22" i="134"/>
  <c r="K21" i="134"/>
  <c r="L21" i="134" s="1"/>
  <c r="H21" i="134"/>
  <c r="J21" i="134" s="1"/>
  <c r="G21" i="134"/>
  <c r="H20" i="134"/>
  <c r="J20" i="134" s="1"/>
  <c r="K20" i="134" s="1"/>
  <c r="L20" i="134" s="1"/>
  <c r="H19" i="134"/>
  <c r="J19" i="134" s="1"/>
  <c r="K19" i="134" s="1"/>
  <c r="L19" i="134" s="1"/>
  <c r="H18" i="134"/>
  <c r="J18" i="134" s="1"/>
  <c r="K18" i="134" s="1"/>
  <c r="L18" i="134" s="1"/>
  <c r="H17" i="134"/>
  <c r="J17" i="134" s="1"/>
  <c r="K17" i="134" s="1"/>
  <c r="L17" i="134" s="1"/>
  <c r="K16" i="134"/>
  <c r="L16" i="134" s="1"/>
  <c r="H16" i="134"/>
  <c r="J16" i="134" s="1"/>
  <c r="G15" i="134"/>
  <c r="H15" i="134" s="1"/>
  <c r="D9" i="134"/>
  <c r="L7" i="134"/>
  <c r="G7" i="134"/>
  <c r="C7" i="134"/>
  <c r="G5" i="134"/>
  <c r="C5" i="134"/>
  <c r="G3" i="134"/>
  <c r="C3" i="134"/>
  <c r="K55" i="133"/>
  <c r="J55" i="133"/>
  <c r="G55" i="133"/>
  <c r="I55" i="133" s="1"/>
  <c r="K54" i="133"/>
  <c r="J54" i="133"/>
  <c r="I54" i="133"/>
  <c r="G54" i="133"/>
  <c r="G53" i="133"/>
  <c r="I53" i="133" s="1"/>
  <c r="K53" i="133" s="1"/>
  <c r="I52" i="133"/>
  <c r="K52" i="133" s="1"/>
  <c r="G52" i="133"/>
  <c r="F51" i="133"/>
  <c r="G51" i="133" s="1"/>
  <c r="I51" i="133" s="1"/>
  <c r="G50" i="133"/>
  <c r="I50" i="133" s="1"/>
  <c r="F50" i="133"/>
  <c r="G49" i="133"/>
  <c r="I49" i="133" s="1"/>
  <c r="F49" i="133"/>
  <c r="F48" i="133"/>
  <c r="G48" i="133" s="1"/>
  <c r="I48" i="133" s="1"/>
  <c r="I47" i="133"/>
  <c r="K47" i="133" s="1"/>
  <c r="F47" i="133"/>
  <c r="G47" i="133" s="1"/>
  <c r="K46" i="133"/>
  <c r="G46" i="133"/>
  <c r="I46" i="133" s="1"/>
  <c r="J46" i="133" s="1"/>
  <c r="F46" i="133"/>
  <c r="F45" i="133"/>
  <c r="G45" i="133" s="1"/>
  <c r="I45" i="133" s="1"/>
  <c r="K44" i="133"/>
  <c r="I44" i="133"/>
  <c r="J44" i="133" s="1"/>
  <c r="G44" i="133"/>
  <c r="F44" i="133"/>
  <c r="G41" i="133"/>
  <c r="I41" i="133" s="1"/>
  <c r="I40" i="133"/>
  <c r="K40" i="133" s="1"/>
  <c r="F40" i="133"/>
  <c r="G40" i="133" s="1"/>
  <c r="F39" i="133"/>
  <c r="G39" i="133" s="1"/>
  <c r="I39" i="133" s="1"/>
  <c r="K38" i="133"/>
  <c r="F38" i="133"/>
  <c r="G38" i="133" s="1"/>
  <c r="I38" i="133" s="1"/>
  <c r="J38" i="133" s="1"/>
  <c r="G37" i="133"/>
  <c r="I37" i="133" s="1"/>
  <c r="F36" i="133"/>
  <c r="G36" i="133" s="1"/>
  <c r="I36" i="133" s="1"/>
  <c r="F35" i="133"/>
  <c r="G35" i="133" s="1"/>
  <c r="I35" i="133" s="1"/>
  <c r="I34" i="133"/>
  <c r="K34" i="133" s="1"/>
  <c r="G34" i="133"/>
  <c r="K33" i="133"/>
  <c r="J33" i="133"/>
  <c r="G33" i="133"/>
  <c r="I33" i="133" s="1"/>
  <c r="I32" i="133"/>
  <c r="K32" i="133" s="1"/>
  <c r="G32" i="133"/>
  <c r="K31" i="133"/>
  <c r="J31" i="133"/>
  <c r="G31" i="133"/>
  <c r="I31" i="133" s="1"/>
  <c r="F31" i="133"/>
  <c r="G30" i="133"/>
  <c r="I30" i="133" s="1"/>
  <c r="F30" i="133"/>
  <c r="F29" i="133"/>
  <c r="G29" i="133" s="1"/>
  <c r="I29" i="133" s="1"/>
  <c r="I28" i="133"/>
  <c r="F28" i="133"/>
  <c r="G28" i="133" s="1"/>
  <c r="F27" i="133"/>
  <c r="G27" i="133" s="1"/>
  <c r="I27" i="133" s="1"/>
  <c r="F26" i="133"/>
  <c r="G26" i="133" s="1"/>
  <c r="I26" i="133" s="1"/>
  <c r="J26" i="133" s="1"/>
  <c r="G25" i="133"/>
  <c r="I25" i="133" s="1"/>
  <c r="F25" i="133"/>
  <c r="G24" i="133"/>
  <c r="I24" i="133" s="1"/>
  <c r="F24" i="133"/>
  <c r="G23" i="133"/>
  <c r="I23" i="133" s="1"/>
  <c r="K23" i="133" s="1"/>
  <c r="F23" i="133"/>
  <c r="G22" i="133"/>
  <c r="I22" i="133" s="1"/>
  <c r="F22" i="133"/>
  <c r="F21" i="133"/>
  <c r="G21" i="133" s="1"/>
  <c r="I21" i="133" s="1"/>
  <c r="J20" i="133"/>
  <c r="I20" i="133"/>
  <c r="K20" i="133" s="1"/>
  <c r="F20" i="133"/>
  <c r="G20" i="133" s="1"/>
  <c r="F19" i="133"/>
  <c r="G19" i="133" s="1"/>
  <c r="I19" i="133" s="1"/>
  <c r="K18" i="133"/>
  <c r="I18" i="133"/>
  <c r="J18" i="133" s="1"/>
  <c r="G18" i="133"/>
  <c r="I17" i="133"/>
  <c r="J17" i="133" s="1"/>
  <c r="J16" i="133"/>
  <c r="I16" i="133"/>
  <c r="K16" i="133" s="1"/>
  <c r="F16" i="133"/>
  <c r="G16" i="133" s="1"/>
  <c r="F15" i="133"/>
  <c r="G15" i="133" s="1"/>
  <c r="I15" i="133" s="1"/>
  <c r="F14" i="133"/>
  <c r="G14" i="133" s="1"/>
  <c r="D10" i="133"/>
  <c r="K7" i="133"/>
  <c r="F7" i="133"/>
  <c r="C7" i="133"/>
  <c r="F5" i="133"/>
  <c r="C5" i="133"/>
  <c r="F3" i="133"/>
  <c r="C3" i="133"/>
  <c r="G66" i="132"/>
  <c r="I66" i="132" s="1"/>
  <c r="K65" i="132"/>
  <c r="I65" i="132"/>
  <c r="J65" i="132" s="1"/>
  <c r="G65" i="132"/>
  <c r="G64" i="132"/>
  <c r="I64" i="132" s="1"/>
  <c r="K63" i="132"/>
  <c r="I63" i="132"/>
  <c r="J63" i="132" s="1"/>
  <c r="G63" i="132"/>
  <c r="G62" i="132"/>
  <c r="I62" i="132" s="1"/>
  <c r="K61" i="132"/>
  <c r="I61" i="132"/>
  <c r="J61" i="132" s="1"/>
  <c r="G61" i="132"/>
  <c r="G60" i="132"/>
  <c r="I60" i="132" s="1"/>
  <c r="K59" i="132"/>
  <c r="I59" i="132"/>
  <c r="J59" i="132" s="1"/>
  <c r="G59" i="132"/>
  <c r="F58" i="132"/>
  <c r="G58" i="132" s="1"/>
  <c r="I58" i="132" s="1"/>
  <c r="F57" i="132"/>
  <c r="G57" i="132" s="1"/>
  <c r="G54" i="132"/>
  <c r="I54" i="132" s="1"/>
  <c r="G53" i="132"/>
  <c r="I53" i="132" s="1"/>
  <c r="I52" i="132"/>
  <c r="K52" i="132" s="1"/>
  <c r="G52" i="132"/>
  <c r="I51" i="132"/>
  <c r="K51" i="132" s="1"/>
  <c r="G51" i="132"/>
  <c r="O50" i="132"/>
  <c r="K50" i="132"/>
  <c r="I50" i="132"/>
  <c r="J50" i="132" s="1"/>
  <c r="G50" i="132"/>
  <c r="I49" i="132"/>
  <c r="G49" i="132"/>
  <c r="G48" i="132"/>
  <c r="I48" i="132" s="1"/>
  <c r="J47" i="132"/>
  <c r="P47" i="132" s="1"/>
  <c r="G47" i="132"/>
  <c r="I47" i="132" s="1"/>
  <c r="K47" i="132" s="1"/>
  <c r="G46" i="132"/>
  <c r="I46" i="132" s="1"/>
  <c r="G45" i="132"/>
  <c r="I45" i="132" s="1"/>
  <c r="I44" i="132"/>
  <c r="K44" i="132" s="1"/>
  <c r="G44" i="132"/>
  <c r="I43" i="132"/>
  <c r="K43" i="132" s="1"/>
  <c r="G43" i="132"/>
  <c r="K42" i="132"/>
  <c r="I42" i="132"/>
  <c r="J42" i="132" s="1"/>
  <c r="P42" i="132" s="1"/>
  <c r="G42" i="132"/>
  <c r="I41" i="132"/>
  <c r="G41" i="132"/>
  <c r="G40" i="132"/>
  <c r="I40" i="132" s="1"/>
  <c r="K39" i="132"/>
  <c r="J39" i="132"/>
  <c r="N39" i="132" s="1"/>
  <c r="G39" i="132"/>
  <c r="I39" i="132" s="1"/>
  <c r="G38" i="132"/>
  <c r="I38" i="132" s="1"/>
  <c r="G37" i="132"/>
  <c r="I37" i="132" s="1"/>
  <c r="I36" i="132"/>
  <c r="F36" i="132"/>
  <c r="G36" i="132" s="1"/>
  <c r="G35" i="132"/>
  <c r="I35" i="132" s="1"/>
  <c r="G34" i="132"/>
  <c r="I34" i="132" s="1"/>
  <c r="I33" i="132"/>
  <c r="K33" i="132" s="1"/>
  <c r="G33" i="132"/>
  <c r="I32" i="132"/>
  <c r="K32" i="132" s="1"/>
  <c r="G32" i="132"/>
  <c r="K31" i="132"/>
  <c r="I31" i="132"/>
  <c r="J31" i="132" s="1"/>
  <c r="N31" i="132" s="1"/>
  <c r="G31" i="132"/>
  <c r="I30" i="132"/>
  <c r="G30" i="132"/>
  <c r="G29" i="132"/>
  <c r="I29" i="132" s="1"/>
  <c r="K28" i="132"/>
  <c r="J28" i="132"/>
  <c r="N28" i="132" s="1"/>
  <c r="G28" i="132"/>
  <c r="I28" i="132" s="1"/>
  <c r="F28" i="132"/>
  <c r="G27" i="132"/>
  <c r="I27" i="132" s="1"/>
  <c r="F27" i="132"/>
  <c r="F26" i="132"/>
  <c r="G26" i="132" s="1"/>
  <c r="I26" i="132" s="1"/>
  <c r="F25" i="132"/>
  <c r="G25" i="132" s="1"/>
  <c r="I25" i="132" s="1"/>
  <c r="K24" i="132"/>
  <c r="J24" i="132"/>
  <c r="M24" i="132" s="1"/>
  <c r="G24" i="132"/>
  <c r="I24" i="132" s="1"/>
  <c r="G23" i="132"/>
  <c r="I23" i="132" s="1"/>
  <c r="G22" i="132"/>
  <c r="I22" i="132" s="1"/>
  <c r="J21" i="132"/>
  <c r="M21" i="132" s="1"/>
  <c r="I21" i="132"/>
  <c r="K21" i="132" s="1"/>
  <c r="G21" i="132"/>
  <c r="I20" i="132"/>
  <c r="K20" i="132" s="1"/>
  <c r="G20" i="132"/>
  <c r="F19" i="132"/>
  <c r="G19" i="132" s="1"/>
  <c r="I19" i="132" s="1"/>
  <c r="J18" i="132"/>
  <c r="M18" i="132" s="1"/>
  <c r="I18" i="132"/>
  <c r="K18" i="132" s="1"/>
  <c r="F18" i="132"/>
  <c r="G18" i="132" s="1"/>
  <c r="G17" i="132"/>
  <c r="I17" i="132" s="1"/>
  <c r="G16" i="132"/>
  <c r="I16" i="132" s="1"/>
  <c r="I15" i="132"/>
  <c r="F15" i="132"/>
  <c r="G15" i="132" s="1"/>
  <c r="G14" i="132"/>
  <c r="I14" i="132" s="1"/>
  <c r="F14" i="132"/>
  <c r="G13" i="132"/>
  <c r="I13" i="132" s="1"/>
  <c r="F13" i="132"/>
  <c r="D9" i="132"/>
  <c r="K7" i="132"/>
  <c r="F7" i="132"/>
  <c r="C7" i="132"/>
  <c r="F5" i="132"/>
  <c r="C5" i="132"/>
  <c r="F3" i="132"/>
  <c r="C3" i="132"/>
  <c r="I66" i="131"/>
  <c r="G66" i="131"/>
  <c r="G65" i="131"/>
  <c r="I65" i="131" s="1"/>
  <c r="G64" i="131"/>
  <c r="I64" i="131" s="1"/>
  <c r="G63" i="131"/>
  <c r="I63" i="131" s="1"/>
  <c r="I62" i="131"/>
  <c r="G62" i="131"/>
  <c r="G61" i="131"/>
  <c r="I61" i="131" s="1"/>
  <c r="G60" i="131"/>
  <c r="I60" i="131" s="1"/>
  <c r="F59" i="131"/>
  <c r="G59" i="131" s="1"/>
  <c r="I59" i="131" s="1"/>
  <c r="F58" i="131"/>
  <c r="G58" i="131" s="1"/>
  <c r="I58" i="131" s="1"/>
  <c r="F57" i="131"/>
  <c r="G57" i="131" s="1"/>
  <c r="G54" i="131"/>
  <c r="I54" i="131" s="1"/>
  <c r="G53" i="131"/>
  <c r="I53" i="131" s="1"/>
  <c r="I52" i="131"/>
  <c r="G52" i="131"/>
  <c r="G51" i="131"/>
  <c r="I51" i="131" s="1"/>
  <c r="I50" i="131"/>
  <c r="G50" i="131"/>
  <c r="G49" i="131"/>
  <c r="I49" i="131" s="1"/>
  <c r="I48" i="131"/>
  <c r="G48" i="131"/>
  <c r="G47" i="131"/>
  <c r="I47" i="131" s="1"/>
  <c r="G46" i="131"/>
  <c r="I46" i="131" s="1"/>
  <c r="G45" i="131"/>
  <c r="I45" i="131" s="1"/>
  <c r="I44" i="131"/>
  <c r="G44" i="131"/>
  <c r="G43" i="131"/>
  <c r="I43" i="131" s="1"/>
  <c r="G42" i="131"/>
  <c r="I42" i="131" s="1"/>
  <c r="G41" i="131"/>
  <c r="I41" i="131" s="1"/>
  <c r="I40" i="131"/>
  <c r="G40" i="131"/>
  <c r="G39" i="131"/>
  <c r="I39" i="131" s="1"/>
  <c r="G38" i="131"/>
  <c r="I38" i="131" s="1"/>
  <c r="G37" i="131"/>
  <c r="I37" i="131" s="1"/>
  <c r="I36" i="131"/>
  <c r="G36" i="131"/>
  <c r="F36" i="131"/>
  <c r="G35" i="131"/>
  <c r="I35" i="131" s="1"/>
  <c r="J34" i="131"/>
  <c r="I34" i="131"/>
  <c r="K34" i="131" s="1"/>
  <c r="G34" i="131"/>
  <c r="G33" i="131"/>
  <c r="I33" i="131" s="1"/>
  <c r="J32" i="131"/>
  <c r="I32" i="131"/>
  <c r="K32" i="131" s="1"/>
  <c r="G32" i="131"/>
  <c r="G31" i="131"/>
  <c r="I31" i="131" s="1"/>
  <c r="J30" i="131"/>
  <c r="I30" i="131"/>
  <c r="K30" i="131" s="1"/>
  <c r="G30" i="131"/>
  <c r="G29" i="131"/>
  <c r="I29" i="131" s="1"/>
  <c r="J28" i="131"/>
  <c r="I28" i="131"/>
  <c r="K28" i="131" s="1"/>
  <c r="G28" i="131"/>
  <c r="G27" i="131"/>
  <c r="I27" i="131" s="1"/>
  <c r="J26" i="131"/>
  <c r="I26" i="131"/>
  <c r="K26" i="131" s="1"/>
  <c r="G26" i="131"/>
  <c r="G25" i="131"/>
  <c r="I25" i="131" s="1"/>
  <c r="J24" i="131"/>
  <c r="I24" i="131"/>
  <c r="K24" i="131" s="1"/>
  <c r="G24" i="131"/>
  <c r="G23" i="131"/>
  <c r="I23" i="131" s="1"/>
  <c r="J22" i="131"/>
  <c r="I22" i="131"/>
  <c r="K22" i="131" s="1"/>
  <c r="G22" i="131"/>
  <c r="G21" i="131"/>
  <c r="I21" i="131" s="1"/>
  <c r="J20" i="131"/>
  <c r="I20" i="131"/>
  <c r="K20" i="131" s="1"/>
  <c r="G20" i="131"/>
  <c r="G19" i="131"/>
  <c r="I19" i="131" s="1"/>
  <c r="F18" i="131"/>
  <c r="G18" i="131" s="1"/>
  <c r="I18" i="131" s="1"/>
  <c r="I17" i="131"/>
  <c r="K17" i="131" s="1"/>
  <c r="G17" i="131"/>
  <c r="J16" i="131"/>
  <c r="G16" i="131"/>
  <c r="I16" i="131" s="1"/>
  <c r="K16" i="131" s="1"/>
  <c r="I15" i="131"/>
  <c r="K15" i="131" s="1"/>
  <c r="G15" i="131"/>
  <c r="G14" i="131"/>
  <c r="I14" i="131" s="1"/>
  <c r="K14" i="131" s="1"/>
  <c r="I13" i="131"/>
  <c r="G13" i="131"/>
  <c r="G12" i="131" s="1"/>
  <c r="D9" i="131"/>
  <c r="K7" i="131"/>
  <c r="F7" i="131"/>
  <c r="C7" i="131"/>
  <c r="F5" i="131"/>
  <c r="C5" i="131"/>
  <c r="F3" i="131"/>
  <c r="C3" i="131"/>
  <c r="R91" i="130"/>
  <c r="R90" i="130"/>
  <c r="R89" i="130"/>
  <c r="R88" i="130"/>
  <c r="R87" i="130"/>
  <c r="R86" i="130"/>
  <c r="R85" i="130"/>
  <c r="R84" i="130"/>
  <c r="R83" i="130"/>
  <c r="R82" i="130"/>
  <c r="R81" i="130"/>
  <c r="R80" i="130"/>
  <c r="R79" i="130"/>
  <c r="R78" i="130"/>
  <c r="R77" i="130"/>
  <c r="R76" i="130"/>
  <c r="R68" i="130"/>
  <c r="R67" i="130"/>
  <c r="R66" i="130"/>
  <c r="R65" i="130"/>
  <c r="R64" i="130"/>
  <c r="R63" i="130"/>
  <c r="R62" i="130"/>
  <c r="R61" i="130"/>
  <c r="R60" i="130"/>
  <c r="R59" i="130"/>
  <c r="R58" i="130"/>
  <c r="R57" i="130"/>
  <c r="R56" i="130"/>
  <c r="R55" i="130"/>
  <c r="R54" i="130"/>
  <c r="R53" i="130"/>
  <c r="R45" i="130"/>
  <c r="R44" i="130"/>
  <c r="R43" i="130"/>
  <c r="R42" i="130"/>
  <c r="R41" i="130"/>
  <c r="R40" i="130"/>
  <c r="R39" i="130"/>
  <c r="R38" i="130"/>
  <c r="R37" i="130"/>
  <c r="R36" i="130"/>
  <c r="R35" i="130"/>
  <c r="R34" i="130"/>
  <c r="R33" i="130"/>
  <c r="R32" i="130"/>
  <c r="R31" i="130"/>
  <c r="R30" i="130"/>
  <c r="R46" i="130" s="1"/>
  <c r="R22" i="130"/>
  <c r="R21" i="130"/>
  <c r="R20" i="130"/>
  <c r="R19" i="130"/>
  <c r="R18" i="130"/>
  <c r="R17" i="130"/>
  <c r="R16" i="130"/>
  <c r="R15" i="130"/>
  <c r="R14" i="130"/>
  <c r="R13" i="130"/>
  <c r="R12" i="130"/>
  <c r="R11" i="130"/>
  <c r="R10" i="130"/>
  <c r="R9" i="130"/>
  <c r="R8" i="130"/>
  <c r="R7" i="130"/>
  <c r="R23" i="130" s="1"/>
  <c r="N2" i="130"/>
  <c r="H2" i="130"/>
  <c r="R91" i="129"/>
  <c r="R90" i="129"/>
  <c r="R89" i="129"/>
  <c r="R88" i="129"/>
  <c r="R87" i="129"/>
  <c r="R86" i="129"/>
  <c r="R85" i="129"/>
  <c r="R84" i="129"/>
  <c r="R83" i="129"/>
  <c r="R82" i="129"/>
  <c r="R81" i="129"/>
  <c r="R80" i="129"/>
  <c r="R79" i="129"/>
  <c r="R78" i="129"/>
  <c r="R77" i="129"/>
  <c r="R76" i="129"/>
  <c r="R92" i="129" s="1"/>
  <c r="R68" i="129"/>
  <c r="R67" i="129"/>
  <c r="R66" i="129"/>
  <c r="R65" i="129"/>
  <c r="R64" i="129"/>
  <c r="R63" i="129"/>
  <c r="R62" i="129"/>
  <c r="R61" i="129"/>
  <c r="R60" i="129"/>
  <c r="R59" i="129"/>
  <c r="R58" i="129"/>
  <c r="R57" i="129"/>
  <c r="R56" i="129"/>
  <c r="R55" i="129"/>
  <c r="R54" i="129"/>
  <c r="R53" i="129"/>
  <c r="R69" i="129" s="1"/>
  <c r="R45" i="129"/>
  <c r="R44" i="129"/>
  <c r="R43" i="129"/>
  <c r="R42" i="129"/>
  <c r="R41" i="129"/>
  <c r="R40" i="129"/>
  <c r="R39" i="129"/>
  <c r="R38" i="129"/>
  <c r="R37" i="129"/>
  <c r="R36" i="129"/>
  <c r="R35" i="129"/>
  <c r="R34" i="129"/>
  <c r="R33" i="129"/>
  <c r="R32" i="129"/>
  <c r="R31" i="129"/>
  <c r="R30" i="129"/>
  <c r="R22" i="129"/>
  <c r="R21" i="129"/>
  <c r="R20" i="129"/>
  <c r="R19" i="129"/>
  <c r="R18" i="129"/>
  <c r="R17" i="129"/>
  <c r="R16" i="129"/>
  <c r="R15" i="129"/>
  <c r="R14" i="129"/>
  <c r="R13" i="129"/>
  <c r="R12" i="129"/>
  <c r="R11" i="129"/>
  <c r="R10" i="129"/>
  <c r="R9" i="129"/>
  <c r="R8" i="129"/>
  <c r="R7" i="129"/>
  <c r="N2" i="129"/>
  <c r="H2" i="129"/>
  <c r="R45" i="128"/>
  <c r="R44" i="128"/>
  <c r="R43" i="128"/>
  <c r="R42" i="128"/>
  <c r="R41" i="128"/>
  <c r="R40" i="128"/>
  <c r="R39" i="128"/>
  <c r="R38" i="128"/>
  <c r="R37" i="128"/>
  <c r="R36" i="128"/>
  <c r="R35" i="128"/>
  <c r="R34" i="128"/>
  <c r="R33" i="128"/>
  <c r="R32" i="128"/>
  <c r="R31" i="128"/>
  <c r="R30" i="128"/>
  <c r="R22" i="128"/>
  <c r="R21" i="128"/>
  <c r="R20" i="128"/>
  <c r="R19" i="128"/>
  <c r="R18" i="128"/>
  <c r="R17" i="128"/>
  <c r="R16" i="128"/>
  <c r="R15" i="128"/>
  <c r="R14" i="128"/>
  <c r="R13" i="128"/>
  <c r="R12" i="128"/>
  <c r="R11" i="128"/>
  <c r="R10" i="128"/>
  <c r="R9" i="128"/>
  <c r="R8" i="128"/>
  <c r="R7" i="128"/>
  <c r="N2" i="128"/>
  <c r="H2" i="128"/>
  <c r="R45" i="127"/>
  <c r="R44" i="127"/>
  <c r="R43" i="127"/>
  <c r="R42" i="127"/>
  <c r="R41" i="127"/>
  <c r="R40" i="127"/>
  <c r="R39" i="127"/>
  <c r="R38" i="127"/>
  <c r="R37" i="127"/>
  <c r="R36" i="127"/>
  <c r="R35" i="127"/>
  <c r="R34" i="127"/>
  <c r="R33" i="127"/>
  <c r="R32" i="127"/>
  <c r="R31" i="127"/>
  <c r="R30" i="127"/>
  <c r="R46" i="127" s="1"/>
  <c r="R22" i="127"/>
  <c r="R21" i="127"/>
  <c r="R20" i="127"/>
  <c r="R19" i="127"/>
  <c r="R18" i="127"/>
  <c r="R17" i="127"/>
  <c r="R16" i="127"/>
  <c r="R15" i="127"/>
  <c r="R14" i="127"/>
  <c r="R13" i="127"/>
  <c r="R12" i="127"/>
  <c r="R11" i="127"/>
  <c r="R10" i="127"/>
  <c r="R9" i="127"/>
  <c r="R8" i="127"/>
  <c r="R7" i="127"/>
  <c r="R23" i="127" s="1"/>
  <c r="N2" i="127"/>
  <c r="H2" i="127"/>
  <c r="K46" i="126"/>
  <c r="M46" i="126" s="1"/>
  <c r="K45" i="126"/>
  <c r="M45" i="126" s="1"/>
  <c r="M44" i="126"/>
  <c r="K44" i="126"/>
  <c r="K43" i="126"/>
  <c r="M43" i="126" s="1"/>
  <c r="K42" i="126"/>
  <c r="M42" i="126" s="1"/>
  <c r="K41" i="126"/>
  <c r="M41" i="126" s="1"/>
  <c r="M40" i="126"/>
  <c r="K40" i="126"/>
  <c r="K39" i="126"/>
  <c r="M39" i="126" s="1"/>
  <c r="M38" i="126"/>
  <c r="K38" i="126"/>
  <c r="K35" i="126" s="1"/>
  <c r="L35" i="126" s="1"/>
  <c r="J38" i="126"/>
  <c r="K37" i="126"/>
  <c r="M37" i="126" s="1"/>
  <c r="J37" i="126"/>
  <c r="K36" i="126"/>
  <c r="M36" i="126" s="1"/>
  <c r="J36" i="126"/>
  <c r="K32" i="126"/>
  <c r="M32" i="126" s="1"/>
  <c r="K31" i="126"/>
  <c r="M31" i="126" s="1"/>
  <c r="J30" i="126"/>
  <c r="K30" i="126" s="1"/>
  <c r="M30" i="126" s="1"/>
  <c r="N29" i="126"/>
  <c r="M29" i="126"/>
  <c r="O29" i="126" s="1"/>
  <c r="K29" i="126"/>
  <c r="K28" i="126"/>
  <c r="M28" i="126" s="1"/>
  <c r="J28" i="126"/>
  <c r="N27" i="126"/>
  <c r="K27" i="126"/>
  <c r="M27" i="126" s="1"/>
  <c r="O27" i="126" s="1"/>
  <c r="M26" i="126"/>
  <c r="O26" i="126" s="1"/>
  <c r="K26" i="126"/>
  <c r="K25" i="126"/>
  <c r="M25" i="126" s="1"/>
  <c r="O25" i="126" s="1"/>
  <c r="M24" i="126"/>
  <c r="O24" i="126" s="1"/>
  <c r="K24" i="126"/>
  <c r="N23" i="126"/>
  <c r="K23" i="126"/>
  <c r="M23" i="126" s="1"/>
  <c r="O23" i="126" s="1"/>
  <c r="M22" i="126"/>
  <c r="O22" i="126" s="1"/>
  <c r="K22" i="126"/>
  <c r="K21" i="126"/>
  <c r="M21" i="126" s="1"/>
  <c r="O21" i="126" s="1"/>
  <c r="M20" i="126"/>
  <c r="O20" i="126" s="1"/>
  <c r="K20" i="126"/>
  <c r="O19" i="126"/>
  <c r="N19" i="126"/>
  <c r="K19" i="126"/>
  <c r="M19" i="126" s="1"/>
  <c r="M18" i="126"/>
  <c r="O18" i="126" s="1"/>
  <c r="K18" i="126"/>
  <c r="K17" i="126"/>
  <c r="M17" i="126" s="1"/>
  <c r="M16" i="126"/>
  <c r="O16" i="126" s="1"/>
  <c r="K16" i="126"/>
  <c r="N15" i="126"/>
  <c r="K15" i="126"/>
  <c r="M15" i="126" s="1"/>
  <c r="O15" i="126" s="1"/>
  <c r="M14" i="126"/>
  <c r="K14" i="126"/>
  <c r="L12" i="126"/>
  <c r="I12" i="126"/>
  <c r="G12" i="126" s="1"/>
  <c r="E12" i="126"/>
  <c r="H12" i="126" s="1"/>
  <c r="E9" i="126"/>
  <c r="O7" i="126"/>
  <c r="H7" i="126"/>
  <c r="D7" i="126"/>
  <c r="H5" i="126"/>
  <c r="D5" i="126"/>
  <c r="H3" i="126"/>
  <c r="D3" i="126"/>
  <c r="M37" i="125"/>
  <c r="K37" i="125"/>
  <c r="K36" i="125"/>
  <c r="M36" i="125" s="1"/>
  <c r="M35" i="125"/>
  <c r="K35" i="125"/>
  <c r="K34" i="125"/>
  <c r="M34" i="125" s="1"/>
  <c r="M33" i="125"/>
  <c r="K33" i="125"/>
  <c r="K32" i="125"/>
  <c r="M32" i="125" s="1"/>
  <c r="M31" i="125"/>
  <c r="K31" i="125"/>
  <c r="K26" i="125" s="1"/>
  <c r="L26" i="125" s="1"/>
  <c r="K30" i="125"/>
  <c r="M30" i="125" s="1"/>
  <c r="M29" i="125"/>
  <c r="N29" i="125" s="1"/>
  <c r="K29" i="125"/>
  <c r="J29" i="125"/>
  <c r="K28" i="125"/>
  <c r="M28" i="125" s="1"/>
  <c r="J28" i="125"/>
  <c r="O27" i="125"/>
  <c r="N27" i="125"/>
  <c r="K27" i="125"/>
  <c r="M27" i="125" s="1"/>
  <c r="J27" i="125"/>
  <c r="K23" i="125"/>
  <c r="M23" i="125" s="1"/>
  <c r="O22" i="125"/>
  <c r="M22" i="125"/>
  <c r="N22" i="125" s="1"/>
  <c r="K22" i="125"/>
  <c r="K21" i="125"/>
  <c r="M21" i="125" s="1"/>
  <c r="M20" i="125"/>
  <c r="N20" i="125" s="1"/>
  <c r="K20" i="125"/>
  <c r="K19" i="125"/>
  <c r="M19" i="125" s="1"/>
  <c r="O18" i="125"/>
  <c r="M18" i="125"/>
  <c r="N18" i="125" s="1"/>
  <c r="K18" i="125"/>
  <c r="K17" i="125"/>
  <c r="M17" i="125" s="1"/>
  <c r="M16" i="125"/>
  <c r="N16" i="125" s="1"/>
  <c r="K16" i="125"/>
  <c r="K15" i="125"/>
  <c r="M15" i="125" s="1"/>
  <c r="O14" i="125"/>
  <c r="M14" i="125"/>
  <c r="K14" i="125"/>
  <c r="L12" i="125" s="1"/>
  <c r="K12" i="125"/>
  <c r="I12" i="125"/>
  <c r="H12" i="125"/>
  <c r="G12" i="125"/>
  <c r="E12" i="125"/>
  <c r="E9" i="125"/>
  <c r="O7" i="125"/>
  <c r="H7" i="125"/>
  <c r="D7" i="125"/>
  <c r="H5" i="125"/>
  <c r="D5" i="125"/>
  <c r="H3" i="125"/>
  <c r="D3" i="125"/>
  <c r="H62" i="124"/>
  <c r="J62" i="124" s="1"/>
  <c r="L62" i="124" s="1"/>
  <c r="J61" i="124"/>
  <c r="H61" i="124"/>
  <c r="K60" i="124"/>
  <c r="H60" i="124"/>
  <c r="J60" i="124" s="1"/>
  <c r="L60" i="124" s="1"/>
  <c r="K59" i="124"/>
  <c r="J59" i="124"/>
  <c r="L59" i="124" s="1"/>
  <c r="H59" i="124"/>
  <c r="K58" i="124"/>
  <c r="H58" i="124"/>
  <c r="J58" i="124" s="1"/>
  <c r="L58" i="124" s="1"/>
  <c r="K57" i="124"/>
  <c r="J57" i="124"/>
  <c r="L57" i="124" s="1"/>
  <c r="H57" i="124"/>
  <c r="K56" i="124"/>
  <c r="H56" i="124"/>
  <c r="J56" i="124" s="1"/>
  <c r="L56" i="124" s="1"/>
  <c r="K55" i="124"/>
  <c r="J55" i="124"/>
  <c r="L55" i="124" s="1"/>
  <c r="H55" i="124"/>
  <c r="L54" i="124"/>
  <c r="K54" i="124"/>
  <c r="H54" i="124"/>
  <c r="J54" i="124" s="1"/>
  <c r="K53" i="124"/>
  <c r="J53" i="124"/>
  <c r="H53" i="124"/>
  <c r="H52" i="124" s="1"/>
  <c r="H50" i="124"/>
  <c r="J50" i="124" s="1"/>
  <c r="K50" i="124" s="1"/>
  <c r="L50" i="124" s="1"/>
  <c r="J49" i="124"/>
  <c r="K49" i="124" s="1"/>
  <c r="L49" i="124" s="1"/>
  <c r="H49" i="124"/>
  <c r="L48" i="124"/>
  <c r="K48" i="124"/>
  <c r="H48" i="124"/>
  <c r="J48" i="124" s="1"/>
  <c r="J47" i="124"/>
  <c r="K47" i="124" s="1"/>
  <c r="L47" i="124" s="1"/>
  <c r="H47" i="124"/>
  <c r="H46" i="124"/>
  <c r="J46" i="124" s="1"/>
  <c r="K46" i="124" s="1"/>
  <c r="L46" i="124" s="1"/>
  <c r="L45" i="124"/>
  <c r="J45" i="124"/>
  <c r="K45" i="124" s="1"/>
  <c r="H45" i="124"/>
  <c r="H44" i="124"/>
  <c r="J44" i="124" s="1"/>
  <c r="K44" i="124" s="1"/>
  <c r="L44" i="124" s="1"/>
  <c r="J43" i="124"/>
  <c r="K43" i="124" s="1"/>
  <c r="L43" i="124" s="1"/>
  <c r="H43" i="124"/>
  <c r="H42" i="124"/>
  <c r="J42" i="124" s="1"/>
  <c r="K42" i="124" s="1"/>
  <c r="L42" i="124" s="1"/>
  <c r="J41" i="124"/>
  <c r="K41" i="124" s="1"/>
  <c r="L41" i="124" s="1"/>
  <c r="H41" i="124"/>
  <c r="L40" i="124"/>
  <c r="K40" i="124"/>
  <c r="H40" i="124"/>
  <c r="J40" i="124" s="1"/>
  <c r="J39" i="124"/>
  <c r="K39" i="124" s="1"/>
  <c r="L39" i="124" s="1"/>
  <c r="H39" i="124"/>
  <c r="H37" i="124"/>
  <c r="J37" i="124" s="1"/>
  <c r="K37" i="124" s="1"/>
  <c r="L37" i="124" s="1"/>
  <c r="L36" i="124"/>
  <c r="J36" i="124"/>
  <c r="K36" i="124" s="1"/>
  <c r="H36" i="124"/>
  <c r="H35" i="124"/>
  <c r="J35" i="124" s="1"/>
  <c r="K35" i="124" s="1"/>
  <c r="L35" i="124" s="1"/>
  <c r="H33" i="124"/>
  <c r="J33" i="124" s="1"/>
  <c r="K33" i="124" s="1"/>
  <c r="L33" i="124" s="1"/>
  <c r="G33" i="124"/>
  <c r="H32" i="124"/>
  <c r="J32" i="124" s="1"/>
  <c r="K32" i="124" s="1"/>
  <c r="L32" i="124" s="1"/>
  <c r="G32" i="124"/>
  <c r="L31" i="124"/>
  <c r="K31" i="124"/>
  <c r="J31" i="124"/>
  <c r="J30" i="124"/>
  <c r="K30" i="124" s="1"/>
  <c r="L30" i="124" s="1"/>
  <c r="H30" i="124"/>
  <c r="K29" i="124"/>
  <c r="L29" i="124" s="1"/>
  <c r="J29" i="124"/>
  <c r="H29" i="124"/>
  <c r="J28" i="124"/>
  <c r="K28" i="124" s="1"/>
  <c r="L28" i="124" s="1"/>
  <c r="H28" i="124"/>
  <c r="K27" i="124"/>
  <c r="L27" i="124" s="1"/>
  <c r="J27" i="124"/>
  <c r="H27" i="124"/>
  <c r="L26" i="124"/>
  <c r="J26" i="124"/>
  <c r="K26" i="124" s="1"/>
  <c r="H26" i="124"/>
  <c r="K25" i="124"/>
  <c r="L25" i="124" s="1"/>
  <c r="J25" i="124"/>
  <c r="H25" i="124"/>
  <c r="L24" i="124"/>
  <c r="K24" i="124"/>
  <c r="G23" i="124"/>
  <c r="H23" i="124" s="1"/>
  <c r="J23" i="124" s="1"/>
  <c r="K23" i="124" s="1"/>
  <c r="L23" i="124" s="1"/>
  <c r="H22" i="124"/>
  <c r="J22" i="124" s="1"/>
  <c r="K22" i="124" s="1"/>
  <c r="L22" i="124" s="1"/>
  <c r="G22" i="124"/>
  <c r="K21" i="124"/>
  <c r="L21" i="124" s="1"/>
  <c r="J21" i="124"/>
  <c r="G21" i="124"/>
  <c r="H21" i="124" s="1"/>
  <c r="J20" i="124"/>
  <c r="K20" i="124" s="1"/>
  <c r="L20" i="124" s="1"/>
  <c r="G20" i="124"/>
  <c r="H20" i="124" s="1"/>
  <c r="G19" i="124"/>
  <c r="H19" i="124" s="1"/>
  <c r="J19" i="124" s="1"/>
  <c r="K19" i="124" s="1"/>
  <c r="L19" i="124" s="1"/>
  <c r="L18" i="124"/>
  <c r="J18" i="124"/>
  <c r="K18" i="124" s="1"/>
  <c r="H18" i="124"/>
  <c r="G18" i="124"/>
  <c r="J17" i="124"/>
  <c r="K17" i="124" s="1"/>
  <c r="L17" i="124" s="1"/>
  <c r="H17" i="124"/>
  <c r="G17" i="124"/>
  <c r="L16" i="124"/>
  <c r="K16" i="124"/>
  <c r="H16" i="124"/>
  <c r="J16" i="124" s="1"/>
  <c r="G16" i="124"/>
  <c r="G15" i="124"/>
  <c r="H15" i="124" s="1"/>
  <c r="D9" i="124"/>
  <c r="L7" i="124"/>
  <c r="G7" i="124"/>
  <c r="C7" i="124"/>
  <c r="G5" i="124"/>
  <c r="C5" i="124"/>
  <c r="G3" i="124"/>
  <c r="C3" i="124"/>
  <c r="J61" i="123"/>
  <c r="H61" i="123"/>
  <c r="H60" i="123"/>
  <c r="J60" i="123" s="1"/>
  <c r="L60" i="123" s="1"/>
  <c r="J59" i="123"/>
  <c r="L59" i="123" s="1"/>
  <c r="H59" i="123"/>
  <c r="L58" i="123"/>
  <c r="K58" i="123"/>
  <c r="H58" i="123"/>
  <c r="J58" i="123" s="1"/>
  <c r="J57" i="123"/>
  <c r="L57" i="123" s="1"/>
  <c r="H57" i="123"/>
  <c r="H56" i="123"/>
  <c r="J56" i="123" s="1"/>
  <c r="K55" i="123"/>
  <c r="J55" i="123"/>
  <c r="L55" i="123" s="1"/>
  <c r="H55" i="123"/>
  <c r="H54" i="123"/>
  <c r="J54" i="123" s="1"/>
  <c r="L54" i="123" s="1"/>
  <c r="J53" i="123"/>
  <c r="H53" i="123"/>
  <c r="H52" i="123"/>
  <c r="J52" i="123" s="1"/>
  <c r="L52" i="123" s="1"/>
  <c r="L49" i="123"/>
  <c r="J49" i="123"/>
  <c r="K49" i="123" s="1"/>
  <c r="H49" i="123"/>
  <c r="K48" i="123"/>
  <c r="L48" i="123" s="1"/>
  <c r="H48" i="123"/>
  <c r="J48" i="123" s="1"/>
  <c r="L47" i="123"/>
  <c r="J47" i="123"/>
  <c r="K47" i="123" s="1"/>
  <c r="H47" i="123"/>
  <c r="L46" i="123"/>
  <c r="K46" i="123"/>
  <c r="H46" i="123"/>
  <c r="J46" i="123" s="1"/>
  <c r="L45" i="123"/>
  <c r="J45" i="123"/>
  <c r="K45" i="123" s="1"/>
  <c r="H45" i="123"/>
  <c r="S44" i="123"/>
  <c r="L44" i="123"/>
  <c r="J44" i="123"/>
  <c r="K44" i="123" s="1"/>
  <c r="H44" i="123"/>
  <c r="S43" i="123"/>
  <c r="H43" i="123"/>
  <c r="J43" i="123" s="1"/>
  <c r="K43" i="123" s="1"/>
  <c r="L43" i="123" s="1"/>
  <c r="S42" i="123"/>
  <c r="L42" i="123"/>
  <c r="K42" i="123"/>
  <c r="H42" i="123"/>
  <c r="J42" i="123" s="1"/>
  <c r="S41" i="123"/>
  <c r="H41" i="123"/>
  <c r="J41" i="123" s="1"/>
  <c r="K41" i="123" s="1"/>
  <c r="L41" i="123" s="1"/>
  <c r="S40" i="123"/>
  <c r="K40" i="123"/>
  <c r="L40" i="123" s="1"/>
  <c r="H40" i="123"/>
  <c r="J40" i="123" s="1"/>
  <c r="S39" i="123"/>
  <c r="J39" i="123"/>
  <c r="K39" i="123" s="1"/>
  <c r="L39" i="123" s="1"/>
  <c r="H39" i="123"/>
  <c r="S38" i="123"/>
  <c r="J38" i="123"/>
  <c r="K38" i="123" s="1"/>
  <c r="L38" i="123" s="1"/>
  <c r="H38" i="123"/>
  <c r="H36" i="123"/>
  <c r="J36" i="123" s="1"/>
  <c r="K36" i="123" s="1"/>
  <c r="L36" i="123" s="1"/>
  <c r="J35" i="123"/>
  <c r="K35" i="123" s="1"/>
  <c r="L35" i="123" s="1"/>
  <c r="H35" i="123"/>
  <c r="L34" i="123"/>
  <c r="K34" i="123"/>
  <c r="H34" i="123"/>
  <c r="J34" i="123" s="1"/>
  <c r="G32" i="123"/>
  <c r="H32" i="123" s="1"/>
  <c r="J32" i="123" s="1"/>
  <c r="K32" i="123" s="1"/>
  <c r="L32" i="123" s="1"/>
  <c r="L31" i="123"/>
  <c r="J31" i="123"/>
  <c r="K31" i="123" s="1"/>
  <c r="H31" i="123"/>
  <c r="G31" i="123"/>
  <c r="J30" i="123"/>
  <c r="K30" i="123" s="1"/>
  <c r="L30" i="123" s="1"/>
  <c r="J29" i="123"/>
  <c r="K29" i="123" s="1"/>
  <c r="L29" i="123" s="1"/>
  <c r="H29" i="123"/>
  <c r="K28" i="123"/>
  <c r="L28" i="123" s="1"/>
  <c r="H28" i="123"/>
  <c r="J28" i="123" s="1"/>
  <c r="H27" i="123"/>
  <c r="J27" i="123" s="1"/>
  <c r="K27" i="123" s="1"/>
  <c r="L27" i="123" s="1"/>
  <c r="H26" i="123"/>
  <c r="L25" i="123"/>
  <c r="J25" i="123"/>
  <c r="K25" i="123" s="1"/>
  <c r="H25" i="123"/>
  <c r="K24" i="123"/>
  <c r="L24" i="123" s="1"/>
  <c r="H24" i="123"/>
  <c r="J24" i="123" s="1"/>
  <c r="L23" i="123"/>
  <c r="J23" i="123"/>
  <c r="K23" i="123" s="1"/>
  <c r="L22" i="123"/>
  <c r="J22" i="123"/>
  <c r="K22" i="123" s="1"/>
  <c r="G22" i="123"/>
  <c r="H22" i="123" s="1"/>
  <c r="J21" i="123"/>
  <c r="K21" i="123" s="1"/>
  <c r="L21" i="123" s="1"/>
  <c r="H21" i="123"/>
  <c r="G21" i="123"/>
  <c r="J20" i="123"/>
  <c r="K20" i="123" s="1"/>
  <c r="L20" i="123" s="1"/>
  <c r="H20" i="123"/>
  <c r="H19" i="123"/>
  <c r="J19" i="123" s="1"/>
  <c r="K19" i="123" s="1"/>
  <c r="L19" i="123" s="1"/>
  <c r="J18" i="123"/>
  <c r="K18" i="123" s="1"/>
  <c r="L18" i="123" s="1"/>
  <c r="H18" i="123"/>
  <c r="K17" i="123"/>
  <c r="L17" i="123" s="1"/>
  <c r="J17" i="123"/>
  <c r="H17" i="123"/>
  <c r="H16" i="123"/>
  <c r="J16" i="123" s="1"/>
  <c r="K16" i="123" s="1"/>
  <c r="L16" i="123" s="1"/>
  <c r="J15" i="123"/>
  <c r="H15" i="123"/>
  <c r="G33" i="123" s="1"/>
  <c r="H33" i="123" s="1"/>
  <c r="J33" i="123" s="1"/>
  <c r="K33" i="123" s="1"/>
  <c r="L33" i="123" s="1"/>
  <c r="G15" i="123"/>
  <c r="D9" i="123"/>
  <c r="L7" i="123"/>
  <c r="G7" i="123"/>
  <c r="C7" i="123"/>
  <c r="G5" i="123"/>
  <c r="C5" i="123"/>
  <c r="G3" i="123"/>
  <c r="C3" i="123"/>
  <c r="I55" i="122"/>
  <c r="K55" i="122" s="1"/>
  <c r="G55" i="122"/>
  <c r="K54" i="122"/>
  <c r="J54" i="122"/>
  <c r="I54" i="122"/>
  <c r="G54" i="122"/>
  <c r="I53" i="122"/>
  <c r="K53" i="122" s="1"/>
  <c r="G53" i="122"/>
  <c r="K52" i="122"/>
  <c r="J52" i="122"/>
  <c r="I52" i="122"/>
  <c r="G52" i="122"/>
  <c r="F51" i="122"/>
  <c r="G51" i="122" s="1"/>
  <c r="I51" i="122" s="1"/>
  <c r="G50" i="122"/>
  <c r="I50" i="122" s="1"/>
  <c r="F50" i="122"/>
  <c r="I49" i="122"/>
  <c r="G49" i="122"/>
  <c r="F49" i="122"/>
  <c r="G48" i="122"/>
  <c r="I48" i="122" s="1"/>
  <c r="F48" i="122"/>
  <c r="K47" i="122"/>
  <c r="F47" i="122"/>
  <c r="G47" i="122" s="1"/>
  <c r="I47" i="122" s="1"/>
  <c r="J47" i="122" s="1"/>
  <c r="G46" i="122"/>
  <c r="I46" i="122" s="1"/>
  <c r="F46" i="122"/>
  <c r="F45" i="122"/>
  <c r="G45" i="122" s="1"/>
  <c r="I45" i="122" s="1"/>
  <c r="J44" i="122"/>
  <c r="I44" i="122"/>
  <c r="K44" i="122" s="1"/>
  <c r="G44" i="122"/>
  <c r="F44" i="122"/>
  <c r="G41" i="122"/>
  <c r="I41" i="122" s="1"/>
  <c r="G40" i="122"/>
  <c r="I40" i="122" s="1"/>
  <c r="F40" i="122"/>
  <c r="F39" i="122"/>
  <c r="G39" i="122" s="1"/>
  <c r="I39" i="122" s="1"/>
  <c r="J38" i="122"/>
  <c r="I38" i="122"/>
  <c r="K38" i="122" s="1"/>
  <c r="G38" i="122"/>
  <c r="F38" i="122"/>
  <c r="I37" i="122"/>
  <c r="K37" i="122" s="1"/>
  <c r="G37" i="122"/>
  <c r="K36" i="122"/>
  <c r="F36" i="122"/>
  <c r="G36" i="122" s="1"/>
  <c r="I36" i="122" s="1"/>
  <c r="J36" i="122" s="1"/>
  <c r="G35" i="122"/>
  <c r="I35" i="122" s="1"/>
  <c r="F35" i="122"/>
  <c r="K34" i="122"/>
  <c r="I34" i="122"/>
  <c r="J34" i="122" s="1"/>
  <c r="G34" i="122"/>
  <c r="I33" i="122"/>
  <c r="G33" i="122"/>
  <c r="K32" i="122"/>
  <c r="I32" i="122"/>
  <c r="J32" i="122" s="1"/>
  <c r="G32" i="122"/>
  <c r="I31" i="122"/>
  <c r="G31" i="122"/>
  <c r="F31" i="122"/>
  <c r="G30" i="122"/>
  <c r="I30" i="122" s="1"/>
  <c r="F30" i="122"/>
  <c r="F29" i="122"/>
  <c r="G29" i="122" s="1"/>
  <c r="I29" i="122" s="1"/>
  <c r="J29" i="122" s="1"/>
  <c r="G28" i="122"/>
  <c r="I28" i="122" s="1"/>
  <c r="F28" i="122"/>
  <c r="F27" i="122"/>
  <c r="G27" i="122" s="1"/>
  <c r="I27" i="122" s="1"/>
  <c r="J26" i="122"/>
  <c r="I26" i="122"/>
  <c r="K26" i="122" s="1"/>
  <c r="G26" i="122"/>
  <c r="F26" i="122"/>
  <c r="F25" i="122"/>
  <c r="G25" i="122" s="1"/>
  <c r="I25" i="122" s="1"/>
  <c r="G24" i="122"/>
  <c r="I24" i="122" s="1"/>
  <c r="F24" i="122"/>
  <c r="I23" i="122"/>
  <c r="G23" i="122"/>
  <c r="F23" i="122"/>
  <c r="G22" i="122"/>
  <c r="I22" i="122" s="1"/>
  <c r="F22" i="122"/>
  <c r="K21" i="122"/>
  <c r="F21" i="122"/>
  <c r="G21" i="122" s="1"/>
  <c r="I21" i="122" s="1"/>
  <c r="J21" i="122" s="1"/>
  <c r="G20" i="122"/>
  <c r="I20" i="122" s="1"/>
  <c r="F20" i="122"/>
  <c r="F19" i="122"/>
  <c r="G19" i="122" s="1"/>
  <c r="I19" i="122" s="1"/>
  <c r="J18" i="122"/>
  <c r="I18" i="122"/>
  <c r="K18" i="122" s="1"/>
  <c r="G18" i="122"/>
  <c r="I17" i="122"/>
  <c r="J17" i="122" s="1"/>
  <c r="G16" i="122"/>
  <c r="I16" i="122" s="1"/>
  <c r="F16" i="122"/>
  <c r="F15" i="122"/>
  <c r="G15" i="122" s="1"/>
  <c r="I15" i="122" s="1"/>
  <c r="J14" i="122"/>
  <c r="I14" i="122"/>
  <c r="G14" i="122"/>
  <c r="F14" i="122"/>
  <c r="D10" i="122"/>
  <c r="K7" i="122"/>
  <c r="F7" i="122"/>
  <c r="C7" i="122"/>
  <c r="F5" i="122"/>
  <c r="C5" i="122"/>
  <c r="F3" i="122"/>
  <c r="C3" i="122"/>
  <c r="G66" i="121"/>
  <c r="I66" i="121" s="1"/>
  <c r="J65" i="121"/>
  <c r="I65" i="121"/>
  <c r="K65" i="121" s="1"/>
  <c r="G65" i="121"/>
  <c r="G64" i="121"/>
  <c r="I64" i="121" s="1"/>
  <c r="J63" i="121"/>
  <c r="I63" i="121"/>
  <c r="K63" i="121" s="1"/>
  <c r="G63" i="121"/>
  <c r="G62" i="121"/>
  <c r="I62" i="121" s="1"/>
  <c r="J61" i="121"/>
  <c r="I61" i="121"/>
  <c r="K61" i="121" s="1"/>
  <c r="G61" i="121"/>
  <c r="G60" i="121"/>
  <c r="I60" i="121" s="1"/>
  <c r="J59" i="121"/>
  <c r="I59" i="121"/>
  <c r="K59" i="121" s="1"/>
  <c r="G59" i="121"/>
  <c r="G58" i="121"/>
  <c r="I58" i="121" s="1"/>
  <c r="F58" i="121"/>
  <c r="F57" i="121"/>
  <c r="G57" i="121" s="1"/>
  <c r="G54" i="121"/>
  <c r="I54" i="121" s="1"/>
  <c r="K53" i="121"/>
  <c r="J53" i="121"/>
  <c r="O53" i="121" s="1"/>
  <c r="I53" i="121"/>
  <c r="G53" i="121"/>
  <c r="G52" i="121"/>
  <c r="I52" i="121" s="1"/>
  <c r="K51" i="121"/>
  <c r="I51" i="121"/>
  <c r="J51" i="121" s="1"/>
  <c r="O51" i="121" s="1"/>
  <c r="G51" i="121"/>
  <c r="J50" i="121"/>
  <c r="O50" i="121" s="1"/>
  <c r="I50" i="121"/>
  <c r="K50" i="121" s="1"/>
  <c r="G50" i="121"/>
  <c r="I49" i="121"/>
  <c r="K49" i="121" s="1"/>
  <c r="G49" i="121"/>
  <c r="G48" i="121"/>
  <c r="I48" i="121" s="1"/>
  <c r="I47" i="121"/>
  <c r="G47" i="121"/>
  <c r="G46" i="121"/>
  <c r="I46" i="121" s="1"/>
  <c r="K45" i="121"/>
  <c r="J45" i="121"/>
  <c r="P45" i="121" s="1"/>
  <c r="I45" i="121"/>
  <c r="G45" i="121"/>
  <c r="G44" i="121"/>
  <c r="I44" i="121" s="1"/>
  <c r="K43" i="121"/>
  <c r="I43" i="121"/>
  <c r="J43" i="121" s="1"/>
  <c r="P43" i="121" s="1"/>
  <c r="G43" i="121"/>
  <c r="J42" i="121"/>
  <c r="P42" i="121" s="1"/>
  <c r="I42" i="121"/>
  <c r="K42" i="121" s="1"/>
  <c r="G42" i="121"/>
  <c r="I41" i="121"/>
  <c r="K41" i="121" s="1"/>
  <c r="G41" i="121"/>
  <c r="G40" i="121"/>
  <c r="I40" i="121" s="1"/>
  <c r="I39" i="121"/>
  <c r="G39" i="121"/>
  <c r="G38" i="121"/>
  <c r="I38" i="121" s="1"/>
  <c r="K37" i="121"/>
  <c r="J37" i="121"/>
  <c r="N37" i="121" s="1"/>
  <c r="I37" i="121"/>
  <c r="G37" i="121"/>
  <c r="G36" i="121"/>
  <c r="I36" i="121" s="1"/>
  <c r="F36" i="121"/>
  <c r="G35" i="121"/>
  <c r="I35" i="121" s="1"/>
  <c r="K34" i="121"/>
  <c r="J34" i="121"/>
  <c r="N34" i="121" s="1"/>
  <c r="I34" i="121"/>
  <c r="G34" i="121"/>
  <c r="G33" i="121"/>
  <c r="I33" i="121" s="1"/>
  <c r="K32" i="121"/>
  <c r="I32" i="121"/>
  <c r="J32" i="121" s="1"/>
  <c r="N32" i="121" s="1"/>
  <c r="G32" i="121"/>
  <c r="J31" i="121"/>
  <c r="N31" i="121" s="1"/>
  <c r="I31" i="121"/>
  <c r="K31" i="121" s="1"/>
  <c r="G31" i="121"/>
  <c r="I30" i="121"/>
  <c r="K30" i="121" s="1"/>
  <c r="G30" i="121"/>
  <c r="G29" i="121"/>
  <c r="I29" i="121" s="1"/>
  <c r="I28" i="121"/>
  <c r="G28" i="121"/>
  <c r="F28" i="121"/>
  <c r="F27" i="121"/>
  <c r="G27" i="121" s="1"/>
  <c r="I27" i="121" s="1"/>
  <c r="F26" i="121"/>
  <c r="G26" i="121" s="1"/>
  <c r="I26" i="121" s="1"/>
  <c r="F25" i="121"/>
  <c r="G25" i="121" s="1"/>
  <c r="I25" i="121" s="1"/>
  <c r="J25" i="121" s="1"/>
  <c r="N25" i="121" s="1"/>
  <c r="I24" i="121"/>
  <c r="G24" i="121"/>
  <c r="G23" i="121"/>
  <c r="I23" i="121" s="1"/>
  <c r="K22" i="121"/>
  <c r="J22" i="121"/>
  <c r="M22" i="121" s="1"/>
  <c r="I22" i="121"/>
  <c r="G22" i="121"/>
  <c r="G21" i="121"/>
  <c r="I21" i="121" s="1"/>
  <c r="K20" i="121"/>
  <c r="I20" i="121"/>
  <c r="J20" i="121" s="1"/>
  <c r="M20" i="121" s="1"/>
  <c r="G20" i="121"/>
  <c r="J19" i="121"/>
  <c r="M19" i="121" s="1"/>
  <c r="I19" i="121"/>
  <c r="K19" i="121" s="1"/>
  <c r="G19" i="121"/>
  <c r="F19" i="121"/>
  <c r="G18" i="121"/>
  <c r="I18" i="121" s="1"/>
  <c r="F18" i="121"/>
  <c r="G17" i="121"/>
  <c r="I17" i="121" s="1"/>
  <c r="K16" i="121"/>
  <c r="J16" i="121"/>
  <c r="M16" i="121" s="1"/>
  <c r="I16" i="121"/>
  <c r="G16" i="121"/>
  <c r="G15" i="121"/>
  <c r="F15" i="121"/>
  <c r="G14" i="121"/>
  <c r="I14" i="121" s="1"/>
  <c r="F14" i="121"/>
  <c r="G13" i="121"/>
  <c r="I13" i="121" s="1"/>
  <c r="F13" i="121"/>
  <c r="D9" i="121"/>
  <c r="K7" i="121"/>
  <c r="F7" i="121"/>
  <c r="C7" i="121"/>
  <c r="F5" i="121"/>
  <c r="C5" i="121"/>
  <c r="F3" i="121"/>
  <c r="C3" i="121"/>
  <c r="I66" i="120"/>
  <c r="K66" i="120" s="1"/>
  <c r="G66" i="120"/>
  <c r="K65" i="120"/>
  <c r="J65" i="120"/>
  <c r="I65" i="120"/>
  <c r="G65" i="120"/>
  <c r="I64" i="120"/>
  <c r="K64" i="120" s="1"/>
  <c r="G64" i="120"/>
  <c r="K63" i="120"/>
  <c r="J63" i="120"/>
  <c r="I63" i="120"/>
  <c r="G63" i="120"/>
  <c r="I62" i="120"/>
  <c r="K62" i="120" s="1"/>
  <c r="G62" i="120"/>
  <c r="K61" i="120"/>
  <c r="J61" i="120"/>
  <c r="I61" i="120"/>
  <c r="G61" i="120"/>
  <c r="I60" i="120"/>
  <c r="K60" i="120" s="1"/>
  <c r="G60" i="120"/>
  <c r="F59" i="120"/>
  <c r="G59" i="120" s="1"/>
  <c r="I59" i="120" s="1"/>
  <c r="G58" i="120"/>
  <c r="I58" i="120" s="1"/>
  <c r="F58" i="120"/>
  <c r="F57" i="120"/>
  <c r="G57" i="120" s="1"/>
  <c r="I54" i="120"/>
  <c r="K54" i="120" s="1"/>
  <c r="G54" i="120"/>
  <c r="K53" i="120"/>
  <c r="J53" i="120"/>
  <c r="I53" i="120"/>
  <c r="G53" i="120"/>
  <c r="I52" i="120"/>
  <c r="K52" i="120" s="1"/>
  <c r="G52" i="120"/>
  <c r="K51" i="120"/>
  <c r="J51" i="120"/>
  <c r="I51" i="120"/>
  <c r="G51" i="120"/>
  <c r="I50" i="120"/>
  <c r="K50" i="120" s="1"/>
  <c r="G50" i="120"/>
  <c r="K49" i="120"/>
  <c r="J49" i="120"/>
  <c r="I49" i="120"/>
  <c r="G49" i="120"/>
  <c r="I48" i="120"/>
  <c r="K48" i="120" s="1"/>
  <c r="G48" i="120"/>
  <c r="K47" i="120"/>
  <c r="J47" i="120"/>
  <c r="I47" i="120"/>
  <c r="G47" i="120"/>
  <c r="I46" i="120"/>
  <c r="K46" i="120" s="1"/>
  <c r="G46" i="120"/>
  <c r="K45" i="120"/>
  <c r="J45" i="120"/>
  <c r="I45" i="120"/>
  <c r="G45" i="120"/>
  <c r="I44" i="120"/>
  <c r="K44" i="120" s="1"/>
  <c r="G44" i="120"/>
  <c r="K43" i="120"/>
  <c r="J43" i="120"/>
  <c r="I43" i="120"/>
  <c r="G43" i="120"/>
  <c r="I42" i="120"/>
  <c r="K42" i="120" s="1"/>
  <c r="G42" i="120"/>
  <c r="K41" i="120"/>
  <c r="J41" i="120"/>
  <c r="I41" i="120"/>
  <c r="G41" i="120"/>
  <c r="I40" i="120"/>
  <c r="K40" i="120" s="1"/>
  <c r="G40" i="120"/>
  <c r="K39" i="120"/>
  <c r="J39" i="120"/>
  <c r="I39" i="120"/>
  <c r="G39" i="120"/>
  <c r="I38" i="120"/>
  <c r="K38" i="120" s="1"/>
  <c r="G38" i="120"/>
  <c r="K37" i="120"/>
  <c r="J37" i="120"/>
  <c r="I37" i="120"/>
  <c r="G37" i="120"/>
  <c r="F36" i="120"/>
  <c r="G36" i="120" s="1"/>
  <c r="I36" i="120" s="1"/>
  <c r="G35" i="120"/>
  <c r="I35" i="120" s="1"/>
  <c r="G34" i="120"/>
  <c r="I34" i="120" s="1"/>
  <c r="G33" i="120"/>
  <c r="I33" i="120" s="1"/>
  <c r="G32" i="120"/>
  <c r="I32" i="120" s="1"/>
  <c r="G31" i="120"/>
  <c r="I31" i="120" s="1"/>
  <c r="G30" i="120"/>
  <c r="I30" i="120" s="1"/>
  <c r="G29" i="120"/>
  <c r="I29" i="120" s="1"/>
  <c r="G28" i="120"/>
  <c r="I28" i="120" s="1"/>
  <c r="G27" i="120"/>
  <c r="I27" i="120" s="1"/>
  <c r="G26" i="120"/>
  <c r="I26" i="120" s="1"/>
  <c r="G25" i="120"/>
  <c r="I25" i="120" s="1"/>
  <c r="G24" i="120"/>
  <c r="I24" i="120" s="1"/>
  <c r="G23" i="120"/>
  <c r="I23" i="120" s="1"/>
  <c r="G22" i="120"/>
  <c r="I22" i="120" s="1"/>
  <c r="G21" i="120"/>
  <c r="I21" i="120" s="1"/>
  <c r="G20" i="120"/>
  <c r="I20" i="120" s="1"/>
  <c r="G19" i="120"/>
  <c r="I19" i="120" s="1"/>
  <c r="G18" i="120"/>
  <c r="I18" i="120" s="1"/>
  <c r="F18" i="120"/>
  <c r="K17" i="120"/>
  <c r="I17" i="120"/>
  <c r="J17" i="120" s="1"/>
  <c r="G17" i="120"/>
  <c r="I16" i="120"/>
  <c r="I12" i="120" s="1"/>
  <c r="G16" i="120"/>
  <c r="K15" i="120"/>
  <c r="I15" i="120"/>
  <c r="J15" i="120" s="1"/>
  <c r="G15" i="120"/>
  <c r="I14" i="120"/>
  <c r="G14" i="120"/>
  <c r="G12" i="120" s="1"/>
  <c r="K13" i="120"/>
  <c r="I13" i="120"/>
  <c r="J13" i="120" s="1"/>
  <c r="G13" i="120"/>
  <c r="D9" i="120"/>
  <c r="K7" i="120"/>
  <c r="F7" i="120"/>
  <c r="C7" i="120"/>
  <c r="F5" i="120"/>
  <c r="C5" i="120"/>
  <c r="F3" i="120"/>
  <c r="C3" i="120"/>
  <c r="R91" i="119"/>
  <c r="R90" i="119"/>
  <c r="R89" i="119"/>
  <c r="R88" i="119"/>
  <c r="R87" i="119"/>
  <c r="R86" i="119"/>
  <c r="R85" i="119"/>
  <c r="R84" i="119"/>
  <c r="R83" i="119"/>
  <c r="R82" i="119"/>
  <c r="R81" i="119"/>
  <c r="R80" i="119"/>
  <c r="R79" i="119"/>
  <c r="R78" i="119"/>
  <c r="R77" i="119"/>
  <c r="R76" i="119"/>
  <c r="R68" i="119"/>
  <c r="R67" i="119"/>
  <c r="R66" i="119"/>
  <c r="R65" i="119"/>
  <c r="R64" i="119"/>
  <c r="R63" i="119"/>
  <c r="R62" i="119"/>
  <c r="R61" i="119"/>
  <c r="R60" i="119"/>
  <c r="R59" i="119"/>
  <c r="R58" i="119"/>
  <c r="R57" i="119"/>
  <c r="R56" i="119"/>
  <c r="R55" i="119"/>
  <c r="R54" i="119"/>
  <c r="R53" i="119"/>
  <c r="R45" i="119"/>
  <c r="R44" i="119"/>
  <c r="R43" i="119"/>
  <c r="R42" i="119"/>
  <c r="R41" i="119"/>
  <c r="R40" i="119"/>
  <c r="R39" i="119"/>
  <c r="R38" i="119"/>
  <c r="R37" i="119"/>
  <c r="R36" i="119"/>
  <c r="R35" i="119"/>
  <c r="R34" i="119"/>
  <c r="R33" i="119"/>
  <c r="R32" i="119"/>
  <c r="R31" i="119"/>
  <c r="R30" i="119"/>
  <c r="R46" i="119" s="1"/>
  <c r="R22" i="119"/>
  <c r="R21" i="119"/>
  <c r="R20" i="119"/>
  <c r="R19" i="119"/>
  <c r="R18" i="119"/>
  <c r="R17" i="119"/>
  <c r="R16" i="119"/>
  <c r="R15" i="119"/>
  <c r="R14" i="119"/>
  <c r="R13" i="119"/>
  <c r="R12" i="119"/>
  <c r="R11" i="119"/>
  <c r="R10" i="119"/>
  <c r="R9" i="119"/>
  <c r="R8" i="119"/>
  <c r="R7" i="119"/>
  <c r="N2" i="119"/>
  <c r="H2" i="119"/>
  <c r="R91" i="118"/>
  <c r="R90" i="118"/>
  <c r="R89" i="118"/>
  <c r="R88" i="118"/>
  <c r="R87" i="118"/>
  <c r="R86" i="118"/>
  <c r="R85" i="118"/>
  <c r="R84" i="118"/>
  <c r="R83" i="118"/>
  <c r="R82" i="118"/>
  <c r="R81" i="118"/>
  <c r="R80" i="118"/>
  <c r="R79" i="118"/>
  <c r="R78" i="118"/>
  <c r="R77" i="118"/>
  <c r="R76" i="118"/>
  <c r="R92" i="118" s="1"/>
  <c r="R93" i="118" s="1"/>
  <c r="R68" i="118"/>
  <c r="R67" i="118"/>
  <c r="R66" i="118"/>
  <c r="R65" i="118"/>
  <c r="R64" i="118"/>
  <c r="R63" i="118"/>
  <c r="R62" i="118"/>
  <c r="R61" i="118"/>
  <c r="R60" i="118"/>
  <c r="R59" i="118"/>
  <c r="R58" i="118"/>
  <c r="R57" i="118"/>
  <c r="R56" i="118"/>
  <c r="R55" i="118"/>
  <c r="R54" i="118"/>
  <c r="R53" i="118"/>
  <c r="R69" i="118" s="1"/>
  <c r="R45" i="118"/>
  <c r="R44" i="118"/>
  <c r="R43" i="118"/>
  <c r="R42" i="118"/>
  <c r="R41" i="118"/>
  <c r="R40" i="118"/>
  <c r="R39" i="118"/>
  <c r="R38" i="118"/>
  <c r="R37" i="118"/>
  <c r="R36" i="118"/>
  <c r="R35" i="118"/>
  <c r="R34" i="118"/>
  <c r="R33" i="118"/>
  <c r="R32" i="118"/>
  <c r="R31" i="118"/>
  <c r="R30" i="118"/>
  <c r="R46" i="118" s="1"/>
  <c r="R22" i="118"/>
  <c r="R21" i="118"/>
  <c r="R20" i="118"/>
  <c r="R19" i="118"/>
  <c r="R18" i="118"/>
  <c r="R17" i="118"/>
  <c r="R16" i="118"/>
  <c r="R15" i="118"/>
  <c r="R14" i="118"/>
  <c r="R13" i="118"/>
  <c r="R12" i="118"/>
  <c r="R11" i="118"/>
  <c r="R10" i="118"/>
  <c r="R9" i="118"/>
  <c r="R8" i="118"/>
  <c r="R7" i="118"/>
  <c r="N2" i="118"/>
  <c r="H2" i="118"/>
  <c r="R45" i="117"/>
  <c r="R44" i="117"/>
  <c r="R43" i="117"/>
  <c r="R42" i="117"/>
  <c r="R41" i="117"/>
  <c r="R40" i="117"/>
  <c r="R39" i="117"/>
  <c r="R38" i="117"/>
  <c r="R37" i="117"/>
  <c r="R36" i="117"/>
  <c r="R35" i="117"/>
  <c r="R34" i="117"/>
  <c r="R33" i="117"/>
  <c r="R32" i="117"/>
  <c r="R31" i="117"/>
  <c r="R30" i="117"/>
  <c r="R46" i="117" s="1"/>
  <c r="R22" i="117"/>
  <c r="R21" i="117"/>
  <c r="R20" i="117"/>
  <c r="R19" i="117"/>
  <c r="R18" i="117"/>
  <c r="R17" i="117"/>
  <c r="R16" i="117"/>
  <c r="R15" i="117"/>
  <c r="R14" i="117"/>
  <c r="R13" i="117"/>
  <c r="R12" i="117"/>
  <c r="R11" i="117"/>
  <c r="R10" i="117"/>
  <c r="R9" i="117"/>
  <c r="R8" i="117"/>
  <c r="R7" i="117"/>
  <c r="R23" i="117" s="1"/>
  <c r="N2" i="117"/>
  <c r="H2" i="117"/>
  <c r="O46" i="116"/>
  <c r="M46" i="116"/>
  <c r="N46" i="116" s="1"/>
  <c r="K46" i="116"/>
  <c r="K45" i="116"/>
  <c r="M45" i="116" s="1"/>
  <c r="O44" i="116"/>
  <c r="M44" i="116"/>
  <c r="N44" i="116" s="1"/>
  <c r="K44" i="116"/>
  <c r="O43" i="116"/>
  <c r="M43" i="116"/>
  <c r="N43" i="116" s="1"/>
  <c r="K43" i="116"/>
  <c r="O42" i="116"/>
  <c r="M42" i="116"/>
  <c r="N42" i="116" s="1"/>
  <c r="K42" i="116"/>
  <c r="K41" i="116"/>
  <c r="M41" i="116" s="1"/>
  <c r="O40" i="116"/>
  <c r="M40" i="116"/>
  <c r="N40" i="116" s="1"/>
  <c r="K40" i="116"/>
  <c r="O39" i="116"/>
  <c r="K39" i="116"/>
  <c r="M39" i="116" s="1"/>
  <c r="N39" i="116" s="1"/>
  <c r="J38" i="116"/>
  <c r="K38" i="116" s="1"/>
  <c r="M38" i="116" s="1"/>
  <c r="N37" i="116"/>
  <c r="M37" i="116"/>
  <c r="O37" i="116" s="1"/>
  <c r="K37" i="116"/>
  <c r="J37" i="116"/>
  <c r="M36" i="116"/>
  <c r="J36" i="116"/>
  <c r="K36" i="116" s="1"/>
  <c r="M32" i="116"/>
  <c r="N32" i="116" s="1"/>
  <c r="K32" i="116"/>
  <c r="O31" i="116"/>
  <c r="M31" i="116"/>
  <c r="N31" i="116" s="1"/>
  <c r="K31" i="116"/>
  <c r="M30" i="116"/>
  <c r="N30" i="116" s="1"/>
  <c r="K30" i="116"/>
  <c r="J30" i="116"/>
  <c r="K29" i="116"/>
  <c r="M29" i="116" s="1"/>
  <c r="M28" i="116"/>
  <c r="K28" i="116"/>
  <c r="J28" i="116"/>
  <c r="M27" i="116"/>
  <c r="K27" i="116"/>
  <c r="O26" i="116"/>
  <c r="N26" i="116"/>
  <c r="M26" i="116"/>
  <c r="K26" i="116"/>
  <c r="M25" i="116"/>
  <c r="K25" i="116"/>
  <c r="O24" i="116"/>
  <c r="N24" i="116"/>
  <c r="M24" i="116"/>
  <c r="K24" i="116"/>
  <c r="M23" i="116"/>
  <c r="K23" i="116"/>
  <c r="O22" i="116"/>
  <c r="N22" i="116"/>
  <c r="M22" i="116"/>
  <c r="K22" i="116"/>
  <c r="M21" i="116"/>
  <c r="K21" i="116"/>
  <c r="O20" i="116"/>
  <c r="N20" i="116"/>
  <c r="M20" i="116"/>
  <c r="K20" i="116"/>
  <c r="M19" i="116"/>
  <c r="K19" i="116"/>
  <c r="O18" i="116"/>
  <c r="N18" i="116"/>
  <c r="M18" i="116"/>
  <c r="K18" i="116"/>
  <c r="M17" i="116"/>
  <c r="K17" i="116"/>
  <c r="O16" i="116"/>
  <c r="N16" i="116"/>
  <c r="M16" i="116"/>
  <c r="K16" i="116"/>
  <c r="M15" i="116"/>
  <c r="K15" i="116"/>
  <c r="O14" i="116"/>
  <c r="N14" i="116"/>
  <c r="M14" i="116"/>
  <c r="K14" i="116"/>
  <c r="L12" i="116"/>
  <c r="I12" i="116"/>
  <c r="G12" i="116" s="1"/>
  <c r="H12" i="116" s="1"/>
  <c r="E12" i="116"/>
  <c r="E9" i="116"/>
  <c r="O7" i="116"/>
  <c r="H7" i="116"/>
  <c r="D7" i="116"/>
  <c r="H5" i="116"/>
  <c r="D5" i="116"/>
  <c r="H3" i="116"/>
  <c r="D3" i="116"/>
  <c r="O37" i="115"/>
  <c r="M37" i="115"/>
  <c r="N37" i="115" s="1"/>
  <c r="K37" i="115"/>
  <c r="M36" i="115"/>
  <c r="N36" i="115" s="1"/>
  <c r="K36" i="115"/>
  <c r="O35" i="115"/>
  <c r="M35" i="115"/>
  <c r="N35" i="115" s="1"/>
  <c r="K35" i="115"/>
  <c r="K34" i="115"/>
  <c r="M34" i="115" s="1"/>
  <c r="O33" i="115"/>
  <c r="M33" i="115"/>
  <c r="N33" i="115" s="1"/>
  <c r="K33" i="115"/>
  <c r="M32" i="115"/>
  <c r="N32" i="115" s="1"/>
  <c r="K32" i="115"/>
  <c r="O31" i="115"/>
  <c r="M31" i="115"/>
  <c r="N31" i="115" s="1"/>
  <c r="K31" i="115"/>
  <c r="M30" i="115"/>
  <c r="N30" i="115" s="1"/>
  <c r="K30" i="115"/>
  <c r="J29" i="115"/>
  <c r="K29" i="115" s="1"/>
  <c r="M29" i="115" s="1"/>
  <c r="N28" i="115"/>
  <c r="M28" i="115"/>
  <c r="O28" i="115" s="1"/>
  <c r="K28" i="115"/>
  <c r="J28" i="115"/>
  <c r="J27" i="115"/>
  <c r="K27" i="115" s="1"/>
  <c r="O23" i="115"/>
  <c r="M23" i="115"/>
  <c r="N23" i="115" s="1"/>
  <c r="K23" i="115"/>
  <c r="O22" i="115"/>
  <c r="M22" i="115"/>
  <c r="N22" i="115" s="1"/>
  <c r="K22" i="115"/>
  <c r="K21" i="115"/>
  <c r="M21" i="115" s="1"/>
  <c r="O20" i="115"/>
  <c r="M20" i="115"/>
  <c r="N20" i="115" s="1"/>
  <c r="K20" i="115"/>
  <c r="O19" i="115"/>
  <c r="K19" i="115"/>
  <c r="M19" i="115" s="1"/>
  <c r="N19" i="115" s="1"/>
  <c r="O18" i="115"/>
  <c r="M18" i="115"/>
  <c r="N18" i="115" s="1"/>
  <c r="K18" i="115"/>
  <c r="K17" i="115"/>
  <c r="M17" i="115" s="1"/>
  <c r="O16" i="115"/>
  <c r="M16" i="115"/>
  <c r="N16" i="115" s="1"/>
  <c r="K16" i="115"/>
  <c r="O15" i="115"/>
  <c r="M15" i="115"/>
  <c r="N15" i="115" s="1"/>
  <c r="K15" i="115"/>
  <c r="O14" i="115"/>
  <c r="M14" i="115"/>
  <c r="N14" i="115" s="1"/>
  <c r="K14" i="115"/>
  <c r="L12" i="115"/>
  <c r="I12" i="115"/>
  <c r="G12" i="115"/>
  <c r="E12" i="115"/>
  <c r="H12" i="115" s="1"/>
  <c r="E9" i="115"/>
  <c r="O7" i="115"/>
  <c r="H7" i="115"/>
  <c r="D7" i="115"/>
  <c r="H5" i="115"/>
  <c r="D5" i="115"/>
  <c r="H3" i="115"/>
  <c r="D3" i="115"/>
  <c r="J62" i="114"/>
  <c r="H62" i="114"/>
  <c r="L61" i="114"/>
  <c r="K61" i="114"/>
  <c r="J61" i="114"/>
  <c r="H61" i="114"/>
  <c r="J60" i="114"/>
  <c r="H60" i="114"/>
  <c r="L59" i="114"/>
  <c r="J59" i="114"/>
  <c r="K59" i="114" s="1"/>
  <c r="H59" i="114"/>
  <c r="J58" i="114"/>
  <c r="H58" i="114"/>
  <c r="L57" i="114"/>
  <c r="J57" i="114"/>
  <c r="K57" i="114" s="1"/>
  <c r="H57" i="114"/>
  <c r="J56" i="114"/>
  <c r="H56" i="114"/>
  <c r="J55" i="114"/>
  <c r="L55" i="114" s="1"/>
  <c r="H55" i="114"/>
  <c r="J54" i="114"/>
  <c r="H54" i="114"/>
  <c r="L53" i="114"/>
  <c r="K53" i="114"/>
  <c r="J53" i="114"/>
  <c r="H53" i="114"/>
  <c r="J52" i="114"/>
  <c r="H52" i="114"/>
  <c r="H50" i="114"/>
  <c r="J50" i="114" s="1"/>
  <c r="K50" i="114" s="1"/>
  <c r="L50" i="114" s="1"/>
  <c r="K49" i="114"/>
  <c r="L49" i="114" s="1"/>
  <c r="H49" i="114"/>
  <c r="J49" i="114" s="1"/>
  <c r="K48" i="114"/>
  <c r="L48" i="114" s="1"/>
  <c r="H48" i="114"/>
  <c r="J48" i="114" s="1"/>
  <c r="K47" i="114"/>
  <c r="L47" i="114" s="1"/>
  <c r="H47" i="114"/>
  <c r="J47" i="114" s="1"/>
  <c r="L46" i="114"/>
  <c r="K46" i="114"/>
  <c r="H46" i="114"/>
  <c r="J46" i="114" s="1"/>
  <c r="H45" i="114"/>
  <c r="J45" i="114" s="1"/>
  <c r="K45" i="114" s="1"/>
  <c r="L45" i="114" s="1"/>
  <c r="K44" i="114"/>
  <c r="L44" i="114" s="1"/>
  <c r="H44" i="114"/>
  <c r="J44" i="114" s="1"/>
  <c r="K43" i="114"/>
  <c r="L43" i="114" s="1"/>
  <c r="H43" i="114"/>
  <c r="J43" i="114" s="1"/>
  <c r="H42" i="114"/>
  <c r="J42" i="114" s="1"/>
  <c r="K42" i="114" s="1"/>
  <c r="L42" i="114" s="1"/>
  <c r="H41" i="114"/>
  <c r="J41" i="114" s="1"/>
  <c r="K41" i="114" s="1"/>
  <c r="L41" i="114" s="1"/>
  <c r="K40" i="114"/>
  <c r="L40" i="114" s="1"/>
  <c r="H40" i="114"/>
  <c r="J40" i="114" s="1"/>
  <c r="H39" i="114"/>
  <c r="J39" i="114" s="1"/>
  <c r="K39" i="114" s="1"/>
  <c r="L39" i="114" s="1"/>
  <c r="H37" i="114"/>
  <c r="J37" i="114" s="1"/>
  <c r="K37" i="114" s="1"/>
  <c r="L37" i="114" s="1"/>
  <c r="H36" i="114"/>
  <c r="J36" i="114" s="1"/>
  <c r="K36" i="114" s="1"/>
  <c r="L36" i="114" s="1"/>
  <c r="H35" i="114"/>
  <c r="J35" i="114" s="1"/>
  <c r="K35" i="114" s="1"/>
  <c r="L35" i="114" s="1"/>
  <c r="G33" i="114"/>
  <c r="H33" i="114" s="1"/>
  <c r="J33" i="114" s="1"/>
  <c r="K33" i="114" s="1"/>
  <c r="L33" i="114" s="1"/>
  <c r="H32" i="114"/>
  <c r="J32" i="114" s="1"/>
  <c r="K32" i="114" s="1"/>
  <c r="L32" i="114" s="1"/>
  <c r="G32" i="114"/>
  <c r="J31" i="114"/>
  <c r="K31" i="114" s="1"/>
  <c r="L31" i="114" s="1"/>
  <c r="H30" i="114"/>
  <c r="J30" i="114" s="1"/>
  <c r="K30" i="114" s="1"/>
  <c r="L30" i="114" s="1"/>
  <c r="H29" i="114"/>
  <c r="J29" i="114" s="1"/>
  <c r="K29" i="114" s="1"/>
  <c r="L29" i="114" s="1"/>
  <c r="J28" i="114"/>
  <c r="K28" i="114" s="1"/>
  <c r="L28" i="114" s="1"/>
  <c r="H28" i="114"/>
  <c r="H27" i="114"/>
  <c r="J27" i="114" s="1"/>
  <c r="K27" i="114" s="1"/>
  <c r="L27" i="114" s="1"/>
  <c r="H26" i="114"/>
  <c r="J26" i="114" s="1"/>
  <c r="K26" i="114" s="1"/>
  <c r="L26" i="114" s="1"/>
  <c r="H25" i="114"/>
  <c r="J25" i="114" s="1"/>
  <c r="K25" i="114" s="1"/>
  <c r="L25" i="114" s="1"/>
  <c r="K24" i="114"/>
  <c r="L24" i="114" s="1"/>
  <c r="L23" i="114"/>
  <c r="K23" i="114"/>
  <c r="H23" i="114"/>
  <c r="J23" i="114" s="1"/>
  <c r="G23" i="114"/>
  <c r="J22" i="114"/>
  <c r="K22" i="114" s="1"/>
  <c r="L22" i="114" s="1"/>
  <c r="H22" i="114"/>
  <c r="G22" i="114"/>
  <c r="H21" i="114"/>
  <c r="J21" i="114" s="1"/>
  <c r="K21" i="114" s="1"/>
  <c r="L21" i="114" s="1"/>
  <c r="G21" i="114"/>
  <c r="G20" i="114"/>
  <c r="H20" i="114" s="1"/>
  <c r="J20" i="114" s="1"/>
  <c r="K20" i="114" s="1"/>
  <c r="L20" i="114" s="1"/>
  <c r="G19" i="114"/>
  <c r="H19" i="114" s="1"/>
  <c r="J19" i="114" s="1"/>
  <c r="K19" i="114" s="1"/>
  <c r="L19" i="114" s="1"/>
  <c r="L18" i="114"/>
  <c r="G18" i="114"/>
  <c r="H18" i="114" s="1"/>
  <c r="J18" i="114" s="1"/>
  <c r="K18" i="114" s="1"/>
  <c r="H17" i="114"/>
  <c r="J17" i="114" s="1"/>
  <c r="K17" i="114" s="1"/>
  <c r="L17" i="114" s="1"/>
  <c r="G17" i="114"/>
  <c r="G16" i="114"/>
  <c r="H16" i="114" s="1"/>
  <c r="L15" i="114"/>
  <c r="H15" i="114"/>
  <c r="J15" i="114" s="1"/>
  <c r="K15" i="114" s="1"/>
  <c r="G15" i="114"/>
  <c r="D9" i="114"/>
  <c r="L7" i="114"/>
  <c r="G7" i="114"/>
  <c r="C7" i="114"/>
  <c r="G5" i="114"/>
  <c r="C5" i="114"/>
  <c r="G3" i="114"/>
  <c r="C3" i="114"/>
  <c r="L61" i="113"/>
  <c r="K61" i="113"/>
  <c r="J61" i="113"/>
  <c r="H61" i="113"/>
  <c r="L60" i="113"/>
  <c r="J60" i="113"/>
  <c r="K60" i="113" s="1"/>
  <c r="H60" i="113"/>
  <c r="L59" i="113"/>
  <c r="J59" i="113"/>
  <c r="K59" i="113" s="1"/>
  <c r="H59" i="113"/>
  <c r="L58" i="113"/>
  <c r="J58" i="113"/>
  <c r="K58" i="113" s="1"/>
  <c r="H58" i="113"/>
  <c r="L57" i="113"/>
  <c r="K57" i="113"/>
  <c r="J57" i="113"/>
  <c r="H57" i="113"/>
  <c r="J56" i="113"/>
  <c r="K56" i="113" s="1"/>
  <c r="H56" i="113"/>
  <c r="K55" i="113"/>
  <c r="J55" i="113"/>
  <c r="L55" i="113" s="1"/>
  <c r="H55" i="113"/>
  <c r="L54" i="113"/>
  <c r="J54" i="113"/>
  <c r="K54" i="113" s="1"/>
  <c r="H54" i="113"/>
  <c r="J53" i="113"/>
  <c r="H53" i="113"/>
  <c r="J52" i="113"/>
  <c r="K52" i="113" s="1"/>
  <c r="H52" i="113"/>
  <c r="H51" i="113"/>
  <c r="K49" i="113"/>
  <c r="L49" i="113" s="1"/>
  <c r="H49" i="113"/>
  <c r="J49" i="113" s="1"/>
  <c r="H48" i="113"/>
  <c r="J48" i="113" s="1"/>
  <c r="K48" i="113" s="1"/>
  <c r="L48" i="113" s="1"/>
  <c r="K47" i="113"/>
  <c r="L47" i="113" s="1"/>
  <c r="H47" i="113"/>
  <c r="J47" i="113" s="1"/>
  <c r="L46" i="113"/>
  <c r="K46" i="113"/>
  <c r="H46" i="113"/>
  <c r="J46" i="113" s="1"/>
  <c r="K45" i="113"/>
  <c r="L45" i="113" s="1"/>
  <c r="H45" i="113"/>
  <c r="J45" i="113" s="1"/>
  <c r="S44" i="113"/>
  <c r="L44" i="113"/>
  <c r="J44" i="113"/>
  <c r="K44" i="113" s="1"/>
  <c r="H44" i="113"/>
  <c r="S43" i="113"/>
  <c r="J43" i="113"/>
  <c r="K43" i="113" s="1"/>
  <c r="L43" i="113" s="1"/>
  <c r="H43" i="113"/>
  <c r="S42" i="113"/>
  <c r="L42" i="113"/>
  <c r="J42" i="113"/>
  <c r="K42" i="113" s="1"/>
  <c r="H42" i="113"/>
  <c r="S41" i="113"/>
  <c r="K41" i="113"/>
  <c r="L41" i="113" s="1"/>
  <c r="H41" i="113"/>
  <c r="J41" i="113" s="1"/>
  <c r="S40" i="113"/>
  <c r="H40" i="113"/>
  <c r="J40" i="113" s="1"/>
  <c r="K40" i="113" s="1"/>
  <c r="L40" i="113" s="1"/>
  <c r="S39" i="113"/>
  <c r="H39" i="113"/>
  <c r="J39" i="113" s="1"/>
  <c r="K39" i="113" s="1"/>
  <c r="L39" i="113" s="1"/>
  <c r="S38" i="113"/>
  <c r="L38" i="113"/>
  <c r="K38" i="113"/>
  <c r="J38" i="113"/>
  <c r="H38" i="113"/>
  <c r="L36" i="113"/>
  <c r="J36" i="113"/>
  <c r="K36" i="113" s="1"/>
  <c r="H36" i="113"/>
  <c r="K35" i="113"/>
  <c r="L35" i="113" s="1"/>
  <c r="J35" i="113"/>
  <c r="H35" i="113"/>
  <c r="L34" i="113"/>
  <c r="J34" i="113"/>
  <c r="K34" i="113" s="1"/>
  <c r="H34" i="113"/>
  <c r="G32" i="113"/>
  <c r="H32" i="113" s="1"/>
  <c r="J32" i="113" s="1"/>
  <c r="K32" i="113" s="1"/>
  <c r="L32" i="113" s="1"/>
  <c r="J31" i="113"/>
  <c r="K31" i="113" s="1"/>
  <c r="L31" i="113" s="1"/>
  <c r="G31" i="113"/>
  <c r="H31" i="113" s="1"/>
  <c r="K30" i="113"/>
  <c r="L30" i="113" s="1"/>
  <c r="J30" i="113"/>
  <c r="J29" i="113"/>
  <c r="K29" i="113" s="1"/>
  <c r="L29" i="113" s="1"/>
  <c r="H29" i="113"/>
  <c r="J28" i="113"/>
  <c r="K28" i="113" s="1"/>
  <c r="L28" i="113" s="1"/>
  <c r="H28" i="113"/>
  <c r="L27" i="113"/>
  <c r="J27" i="113"/>
  <c r="K27" i="113" s="1"/>
  <c r="H27" i="113"/>
  <c r="L26" i="113"/>
  <c r="J26" i="113"/>
  <c r="K26" i="113" s="1"/>
  <c r="H26" i="113"/>
  <c r="L25" i="113"/>
  <c r="J25" i="113"/>
  <c r="K25" i="113" s="1"/>
  <c r="H25" i="113"/>
  <c r="H24" i="113"/>
  <c r="J24" i="113" s="1"/>
  <c r="K24" i="113" s="1"/>
  <c r="L24" i="113" s="1"/>
  <c r="L23" i="113"/>
  <c r="J23" i="113"/>
  <c r="K23" i="113" s="1"/>
  <c r="G22" i="113"/>
  <c r="H22" i="113" s="1"/>
  <c r="J22" i="113" s="1"/>
  <c r="K22" i="113" s="1"/>
  <c r="L22" i="113" s="1"/>
  <c r="G21" i="113"/>
  <c r="H21" i="113" s="1"/>
  <c r="J21" i="113" s="1"/>
  <c r="K21" i="113" s="1"/>
  <c r="L21" i="113" s="1"/>
  <c r="H20" i="113"/>
  <c r="J20" i="113" s="1"/>
  <c r="K20" i="113" s="1"/>
  <c r="L20" i="113" s="1"/>
  <c r="H19" i="113"/>
  <c r="J19" i="113" s="1"/>
  <c r="K19" i="113" s="1"/>
  <c r="L19" i="113" s="1"/>
  <c r="H18" i="113"/>
  <c r="J18" i="113" s="1"/>
  <c r="K18" i="113" s="1"/>
  <c r="L18" i="113" s="1"/>
  <c r="K17" i="113"/>
  <c r="L17" i="113" s="1"/>
  <c r="H17" i="113"/>
  <c r="J17" i="113" s="1"/>
  <c r="J16" i="113"/>
  <c r="K16" i="113" s="1"/>
  <c r="L16" i="113" s="1"/>
  <c r="H16" i="113"/>
  <c r="G15" i="113"/>
  <c r="H15" i="113" s="1"/>
  <c r="D9" i="113"/>
  <c r="L7" i="113"/>
  <c r="G7" i="113"/>
  <c r="C7" i="113"/>
  <c r="G5" i="113"/>
  <c r="C5" i="113"/>
  <c r="G3" i="113"/>
  <c r="C3" i="113"/>
  <c r="I55" i="112"/>
  <c r="J55" i="112" s="1"/>
  <c r="G55" i="112"/>
  <c r="G54" i="112"/>
  <c r="I54" i="112" s="1"/>
  <c r="K53" i="112"/>
  <c r="I53" i="112"/>
  <c r="J53" i="112" s="1"/>
  <c r="G53" i="112"/>
  <c r="G52" i="112"/>
  <c r="I52" i="112" s="1"/>
  <c r="K51" i="112"/>
  <c r="F51" i="112"/>
  <c r="G51" i="112" s="1"/>
  <c r="I51" i="112" s="1"/>
  <c r="J51" i="112" s="1"/>
  <c r="I50" i="112"/>
  <c r="G50" i="112"/>
  <c r="F50" i="112"/>
  <c r="K49" i="112"/>
  <c r="I49" i="112"/>
  <c r="J49" i="112" s="1"/>
  <c r="G49" i="112"/>
  <c r="F49" i="112"/>
  <c r="K48" i="112"/>
  <c r="J48" i="112"/>
  <c r="G48" i="112"/>
  <c r="I48" i="112" s="1"/>
  <c r="F48" i="112"/>
  <c r="F47" i="112"/>
  <c r="G47" i="112" s="1"/>
  <c r="G46" i="112"/>
  <c r="I46" i="112" s="1"/>
  <c r="F46" i="112"/>
  <c r="J45" i="112"/>
  <c r="I45" i="112"/>
  <c r="K45" i="112" s="1"/>
  <c r="F45" i="112"/>
  <c r="G45" i="112" s="1"/>
  <c r="F44" i="112"/>
  <c r="G44" i="112" s="1"/>
  <c r="I44" i="112" s="1"/>
  <c r="I41" i="112"/>
  <c r="G41" i="112"/>
  <c r="G40" i="112"/>
  <c r="I40" i="112" s="1"/>
  <c r="F40" i="112"/>
  <c r="F39" i="112"/>
  <c r="G39" i="112" s="1"/>
  <c r="I39" i="112" s="1"/>
  <c r="F38" i="112"/>
  <c r="G38" i="112" s="1"/>
  <c r="I38" i="112" s="1"/>
  <c r="K37" i="112"/>
  <c r="I37" i="112"/>
  <c r="J37" i="112" s="1"/>
  <c r="G37" i="112"/>
  <c r="G36" i="112"/>
  <c r="I36" i="112" s="1"/>
  <c r="F36" i="112"/>
  <c r="G35" i="112"/>
  <c r="I35" i="112" s="1"/>
  <c r="F35" i="112"/>
  <c r="I34" i="112"/>
  <c r="K34" i="112" s="1"/>
  <c r="G34" i="112"/>
  <c r="K33" i="112"/>
  <c r="I33" i="112"/>
  <c r="J33" i="112" s="1"/>
  <c r="G33" i="112"/>
  <c r="I32" i="112"/>
  <c r="G32" i="112"/>
  <c r="K31" i="112"/>
  <c r="I31" i="112"/>
  <c r="J31" i="112" s="1"/>
  <c r="G31" i="112"/>
  <c r="F31" i="112"/>
  <c r="G30" i="112"/>
  <c r="I30" i="112" s="1"/>
  <c r="F30" i="112"/>
  <c r="G29" i="112"/>
  <c r="I29" i="112" s="1"/>
  <c r="F29" i="112"/>
  <c r="G28" i="112"/>
  <c r="I28" i="112" s="1"/>
  <c r="F28" i="112"/>
  <c r="F27" i="112"/>
  <c r="G27" i="112" s="1"/>
  <c r="I27" i="112" s="1"/>
  <c r="F26" i="112"/>
  <c r="G26" i="112" s="1"/>
  <c r="I26" i="112" s="1"/>
  <c r="K25" i="112"/>
  <c r="F25" i="112"/>
  <c r="G25" i="112" s="1"/>
  <c r="I25" i="112" s="1"/>
  <c r="J25" i="112" s="1"/>
  <c r="I24" i="112"/>
  <c r="G24" i="112"/>
  <c r="F24" i="112"/>
  <c r="K23" i="112"/>
  <c r="I23" i="112"/>
  <c r="J23" i="112" s="1"/>
  <c r="G23" i="112"/>
  <c r="F23" i="112"/>
  <c r="J22" i="112"/>
  <c r="G22" i="112"/>
  <c r="I22" i="112" s="1"/>
  <c r="K22" i="112" s="1"/>
  <c r="F22" i="112"/>
  <c r="F21" i="112"/>
  <c r="G21" i="112" s="1"/>
  <c r="I21" i="112" s="1"/>
  <c r="G20" i="112"/>
  <c r="I20" i="112" s="1"/>
  <c r="F20" i="112"/>
  <c r="I19" i="112"/>
  <c r="K19" i="112" s="1"/>
  <c r="F19" i="112"/>
  <c r="G19" i="112" s="1"/>
  <c r="J18" i="112"/>
  <c r="I18" i="112"/>
  <c r="K18" i="112" s="1"/>
  <c r="G18" i="112"/>
  <c r="I17" i="112"/>
  <c r="J17" i="112" s="1"/>
  <c r="G16" i="112"/>
  <c r="I16" i="112" s="1"/>
  <c r="F16" i="112"/>
  <c r="J15" i="112"/>
  <c r="I15" i="112"/>
  <c r="K15" i="112" s="1"/>
  <c r="F15" i="112"/>
  <c r="G15" i="112" s="1"/>
  <c r="F14" i="112"/>
  <c r="G14" i="112" s="1"/>
  <c r="D10" i="112"/>
  <c r="K7" i="112"/>
  <c r="F7" i="112"/>
  <c r="C7" i="112"/>
  <c r="F5" i="112"/>
  <c r="C5" i="112"/>
  <c r="F3" i="112"/>
  <c r="C3" i="112"/>
  <c r="K66" i="111"/>
  <c r="J66" i="111"/>
  <c r="C73" i="111" s="1"/>
  <c r="G66" i="111"/>
  <c r="I66" i="111" s="1"/>
  <c r="J65" i="111"/>
  <c r="I65" i="111"/>
  <c r="K65" i="111" s="1"/>
  <c r="G65" i="111"/>
  <c r="K64" i="111"/>
  <c r="G64" i="111"/>
  <c r="I64" i="111" s="1"/>
  <c r="J64" i="111" s="1"/>
  <c r="J63" i="111"/>
  <c r="I63" i="111"/>
  <c r="K63" i="111" s="1"/>
  <c r="G63" i="111"/>
  <c r="K62" i="111"/>
  <c r="G62" i="111"/>
  <c r="I62" i="111" s="1"/>
  <c r="J62" i="111" s="1"/>
  <c r="J61" i="111"/>
  <c r="I61" i="111"/>
  <c r="K61" i="111" s="1"/>
  <c r="G61" i="111"/>
  <c r="G60" i="111"/>
  <c r="I60" i="111" s="1"/>
  <c r="J59" i="111"/>
  <c r="I59" i="111"/>
  <c r="K59" i="111" s="1"/>
  <c r="G59" i="111"/>
  <c r="K58" i="111"/>
  <c r="J58" i="111"/>
  <c r="G58" i="111"/>
  <c r="I58" i="111" s="1"/>
  <c r="F58" i="111"/>
  <c r="G57" i="111"/>
  <c r="F57" i="111"/>
  <c r="K54" i="111"/>
  <c r="G54" i="111"/>
  <c r="I54" i="111" s="1"/>
  <c r="J54" i="111" s="1"/>
  <c r="O54" i="111" s="1"/>
  <c r="G53" i="111"/>
  <c r="I53" i="111" s="1"/>
  <c r="G52" i="111"/>
  <c r="I52" i="111" s="1"/>
  <c r="J51" i="111"/>
  <c r="O51" i="111" s="1"/>
  <c r="I51" i="111"/>
  <c r="K51" i="111" s="1"/>
  <c r="G51" i="111"/>
  <c r="O50" i="111"/>
  <c r="J50" i="111"/>
  <c r="I50" i="111"/>
  <c r="K50" i="111" s="1"/>
  <c r="G50" i="111"/>
  <c r="K49" i="111"/>
  <c r="I49" i="111"/>
  <c r="J49" i="111" s="1"/>
  <c r="P49" i="111" s="1"/>
  <c r="G49" i="111"/>
  <c r="G48" i="111"/>
  <c r="I48" i="111" s="1"/>
  <c r="K47" i="111"/>
  <c r="I47" i="111"/>
  <c r="J47" i="111" s="1"/>
  <c r="P47" i="111" s="1"/>
  <c r="G47" i="111"/>
  <c r="K46" i="111"/>
  <c r="G46" i="111"/>
  <c r="I46" i="111" s="1"/>
  <c r="J46" i="111" s="1"/>
  <c r="P46" i="111" s="1"/>
  <c r="G45" i="111"/>
  <c r="I45" i="111" s="1"/>
  <c r="G44" i="111"/>
  <c r="I44" i="111" s="1"/>
  <c r="J43" i="111"/>
  <c r="P43" i="111" s="1"/>
  <c r="I43" i="111"/>
  <c r="K43" i="111" s="1"/>
  <c r="G43" i="111"/>
  <c r="P42" i="111"/>
  <c r="J42" i="111"/>
  <c r="I42" i="111"/>
  <c r="K42" i="111" s="1"/>
  <c r="G42" i="111"/>
  <c r="P41" i="111"/>
  <c r="K41" i="111"/>
  <c r="I41" i="111"/>
  <c r="J41" i="111" s="1"/>
  <c r="G41" i="111"/>
  <c r="G40" i="111"/>
  <c r="I40" i="111" s="1"/>
  <c r="K39" i="111"/>
  <c r="I39" i="111"/>
  <c r="J39" i="111" s="1"/>
  <c r="N39" i="111" s="1"/>
  <c r="G39" i="111"/>
  <c r="G38" i="111"/>
  <c r="I38" i="111" s="1"/>
  <c r="G37" i="111"/>
  <c r="I37" i="111" s="1"/>
  <c r="G36" i="111"/>
  <c r="I36" i="111" s="1"/>
  <c r="F36" i="111"/>
  <c r="K35" i="111"/>
  <c r="J35" i="111"/>
  <c r="N35" i="111" s="1"/>
  <c r="G35" i="111"/>
  <c r="I35" i="111" s="1"/>
  <c r="G34" i="111"/>
  <c r="I34" i="111" s="1"/>
  <c r="G33" i="111"/>
  <c r="I33" i="111" s="1"/>
  <c r="I32" i="111"/>
  <c r="K32" i="111" s="1"/>
  <c r="G32" i="111"/>
  <c r="N31" i="111"/>
  <c r="J31" i="111"/>
  <c r="I31" i="111"/>
  <c r="K31" i="111" s="1"/>
  <c r="G31" i="111"/>
  <c r="N30" i="111"/>
  <c r="K30" i="111"/>
  <c r="I30" i="111"/>
  <c r="J30" i="111" s="1"/>
  <c r="G30" i="111"/>
  <c r="I29" i="111"/>
  <c r="G29" i="111"/>
  <c r="K28" i="111"/>
  <c r="I28" i="111"/>
  <c r="J28" i="111" s="1"/>
  <c r="N28" i="111" s="1"/>
  <c r="G28" i="111"/>
  <c r="F28" i="111"/>
  <c r="N27" i="111"/>
  <c r="K27" i="111"/>
  <c r="F27" i="111"/>
  <c r="G27" i="111" s="1"/>
  <c r="I27" i="111" s="1"/>
  <c r="J27" i="111" s="1"/>
  <c r="I26" i="111"/>
  <c r="F26" i="111"/>
  <c r="G26" i="111" s="1"/>
  <c r="G25" i="111"/>
  <c r="I25" i="111" s="1"/>
  <c r="F25" i="111"/>
  <c r="K24" i="111"/>
  <c r="I24" i="111"/>
  <c r="J24" i="111" s="1"/>
  <c r="M24" i="111" s="1"/>
  <c r="G24" i="111"/>
  <c r="J23" i="111"/>
  <c r="M23" i="111" s="1"/>
  <c r="G23" i="111"/>
  <c r="I23" i="111" s="1"/>
  <c r="K23" i="111" s="1"/>
  <c r="G22" i="111"/>
  <c r="I22" i="111" s="1"/>
  <c r="G21" i="111"/>
  <c r="I21" i="111" s="1"/>
  <c r="J20" i="111"/>
  <c r="M20" i="111" s="1"/>
  <c r="I20" i="111"/>
  <c r="K20" i="111" s="1"/>
  <c r="G20" i="111"/>
  <c r="F19" i="111"/>
  <c r="G19" i="111" s="1"/>
  <c r="I19" i="111" s="1"/>
  <c r="G18" i="111"/>
  <c r="I18" i="111" s="1"/>
  <c r="F18" i="111"/>
  <c r="K17" i="111"/>
  <c r="J17" i="111"/>
  <c r="M17" i="111" s="1"/>
  <c r="G17" i="111"/>
  <c r="I17" i="111" s="1"/>
  <c r="G16" i="111"/>
  <c r="I16" i="111" s="1"/>
  <c r="G15" i="111"/>
  <c r="I15" i="111" s="1"/>
  <c r="F15" i="111"/>
  <c r="K14" i="111"/>
  <c r="J14" i="111"/>
  <c r="M14" i="111" s="1"/>
  <c r="G14" i="111"/>
  <c r="I14" i="111" s="1"/>
  <c r="F14" i="111"/>
  <c r="G13" i="111"/>
  <c r="F13" i="111"/>
  <c r="D9" i="111"/>
  <c r="K7" i="111"/>
  <c r="F7" i="111"/>
  <c r="C7" i="111"/>
  <c r="F5" i="111"/>
  <c r="C5" i="111"/>
  <c r="F3" i="111"/>
  <c r="C3" i="111"/>
  <c r="K66" i="110"/>
  <c r="I66" i="110"/>
  <c r="J66" i="110" s="1"/>
  <c r="G66" i="110"/>
  <c r="G65" i="110"/>
  <c r="I65" i="110" s="1"/>
  <c r="K64" i="110"/>
  <c r="I64" i="110"/>
  <c r="J64" i="110" s="1"/>
  <c r="G64" i="110"/>
  <c r="G63" i="110"/>
  <c r="I63" i="110" s="1"/>
  <c r="K62" i="110"/>
  <c r="I62" i="110"/>
  <c r="J62" i="110" s="1"/>
  <c r="G62" i="110"/>
  <c r="G61" i="110"/>
  <c r="K60" i="110"/>
  <c r="I60" i="110"/>
  <c r="J60" i="110" s="1"/>
  <c r="G60" i="110"/>
  <c r="G59" i="110"/>
  <c r="I59" i="110" s="1"/>
  <c r="F59" i="110"/>
  <c r="G58" i="110"/>
  <c r="I58" i="110" s="1"/>
  <c r="F58" i="110"/>
  <c r="J57" i="110"/>
  <c r="F57" i="110"/>
  <c r="G57" i="110" s="1"/>
  <c r="I57" i="110" s="1"/>
  <c r="K54" i="110"/>
  <c r="I54" i="110"/>
  <c r="J54" i="110" s="1"/>
  <c r="G54" i="110"/>
  <c r="G53" i="110"/>
  <c r="I53" i="110" s="1"/>
  <c r="K52" i="110"/>
  <c r="I52" i="110"/>
  <c r="J52" i="110" s="1"/>
  <c r="G52" i="110"/>
  <c r="G51" i="110"/>
  <c r="I51" i="110" s="1"/>
  <c r="K50" i="110"/>
  <c r="I50" i="110"/>
  <c r="J50" i="110" s="1"/>
  <c r="G50" i="110"/>
  <c r="G49" i="110"/>
  <c r="I49" i="110" s="1"/>
  <c r="K48" i="110"/>
  <c r="I48" i="110"/>
  <c r="J48" i="110" s="1"/>
  <c r="G48" i="110"/>
  <c r="G47" i="110"/>
  <c r="I47" i="110" s="1"/>
  <c r="K46" i="110"/>
  <c r="I46" i="110"/>
  <c r="J46" i="110" s="1"/>
  <c r="G46" i="110"/>
  <c r="G45" i="110"/>
  <c r="I45" i="110" s="1"/>
  <c r="K44" i="110"/>
  <c r="I44" i="110"/>
  <c r="J44" i="110" s="1"/>
  <c r="G44" i="110"/>
  <c r="G43" i="110"/>
  <c r="I43" i="110" s="1"/>
  <c r="K42" i="110"/>
  <c r="I42" i="110"/>
  <c r="J42" i="110" s="1"/>
  <c r="G42" i="110"/>
  <c r="G41" i="110"/>
  <c r="I41" i="110" s="1"/>
  <c r="K40" i="110"/>
  <c r="I40" i="110"/>
  <c r="J40" i="110" s="1"/>
  <c r="G40" i="110"/>
  <c r="G39" i="110"/>
  <c r="I39" i="110" s="1"/>
  <c r="K38" i="110"/>
  <c r="I38" i="110"/>
  <c r="J38" i="110" s="1"/>
  <c r="G38" i="110"/>
  <c r="G37" i="110"/>
  <c r="I37" i="110" s="1"/>
  <c r="K36" i="110"/>
  <c r="F36" i="110"/>
  <c r="G36" i="110" s="1"/>
  <c r="I36" i="110" s="1"/>
  <c r="J36" i="110" s="1"/>
  <c r="G35" i="110"/>
  <c r="I35" i="110" s="1"/>
  <c r="G34" i="110"/>
  <c r="I34" i="110" s="1"/>
  <c r="I33" i="110"/>
  <c r="G33" i="110"/>
  <c r="G32" i="110"/>
  <c r="I32" i="110" s="1"/>
  <c r="I31" i="110"/>
  <c r="G31" i="110"/>
  <c r="G30" i="110"/>
  <c r="I30" i="110" s="1"/>
  <c r="I29" i="110"/>
  <c r="G29" i="110"/>
  <c r="G28" i="110"/>
  <c r="I28" i="110" s="1"/>
  <c r="I27" i="110"/>
  <c r="G27" i="110"/>
  <c r="G26" i="110"/>
  <c r="I26" i="110" s="1"/>
  <c r="G25" i="110"/>
  <c r="I25" i="110" s="1"/>
  <c r="G24" i="110"/>
  <c r="I24" i="110" s="1"/>
  <c r="I23" i="110"/>
  <c r="G23" i="110"/>
  <c r="G22" i="110"/>
  <c r="I22" i="110" s="1"/>
  <c r="G21" i="110"/>
  <c r="I21" i="110" s="1"/>
  <c r="G20" i="110"/>
  <c r="I20" i="110" s="1"/>
  <c r="G19" i="110"/>
  <c r="I19" i="110" s="1"/>
  <c r="G18" i="110"/>
  <c r="I18" i="110" s="1"/>
  <c r="F18" i="110"/>
  <c r="J17" i="110"/>
  <c r="I17" i="110"/>
  <c r="K17" i="110" s="1"/>
  <c r="G17" i="110"/>
  <c r="K16" i="110"/>
  <c r="I16" i="110"/>
  <c r="J16" i="110" s="1"/>
  <c r="G16" i="110"/>
  <c r="J15" i="110"/>
  <c r="I15" i="110"/>
  <c r="K15" i="110" s="1"/>
  <c r="G15" i="110"/>
  <c r="K14" i="110"/>
  <c r="I14" i="110"/>
  <c r="J14" i="110" s="1"/>
  <c r="G14" i="110"/>
  <c r="I13" i="110"/>
  <c r="G13" i="110"/>
  <c r="D9" i="110"/>
  <c r="K7" i="110"/>
  <c r="F7" i="110"/>
  <c r="C7" i="110"/>
  <c r="F5" i="110"/>
  <c r="C5" i="110"/>
  <c r="F3" i="110"/>
  <c r="C3" i="110"/>
  <c r="R91" i="109"/>
  <c r="R90" i="109"/>
  <c r="R89" i="109"/>
  <c r="R88" i="109"/>
  <c r="R87" i="109"/>
  <c r="R86" i="109"/>
  <c r="R85" i="109"/>
  <c r="R84" i="109"/>
  <c r="R83" i="109"/>
  <c r="R82" i="109"/>
  <c r="R81" i="109"/>
  <c r="R80" i="109"/>
  <c r="R79" i="109"/>
  <c r="R78" i="109"/>
  <c r="R77" i="109"/>
  <c r="R76" i="109"/>
  <c r="R68" i="109"/>
  <c r="R67" i="109"/>
  <c r="R66" i="109"/>
  <c r="R65" i="109"/>
  <c r="R64" i="109"/>
  <c r="R63" i="109"/>
  <c r="R62" i="109"/>
  <c r="R61" i="109"/>
  <c r="R60" i="109"/>
  <c r="R59" i="109"/>
  <c r="R58" i="109"/>
  <c r="R57" i="109"/>
  <c r="R56" i="109"/>
  <c r="R55" i="109"/>
  <c r="R54" i="109"/>
  <c r="R53" i="109"/>
  <c r="R69" i="109" s="1"/>
  <c r="R45" i="109"/>
  <c r="R44" i="109"/>
  <c r="R43" i="109"/>
  <c r="R42" i="109"/>
  <c r="R41" i="109"/>
  <c r="R40" i="109"/>
  <c r="R39" i="109"/>
  <c r="R38" i="109"/>
  <c r="R37" i="109"/>
  <c r="R36" i="109"/>
  <c r="R35" i="109"/>
  <c r="R34" i="109"/>
  <c r="R33" i="109"/>
  <c r="R32" i="109"/>
  <c r="R31" i="109"/>
  <c r="R30" i="109"/>
  <c r="R46" i="109" s="1"/>
  <c r="R22" i="109"/>
  <c r="R21" i="109"/>
  <c r="R20" i="109"/>
  <c r="R19" i="109"/>
  <c r="R18" i="109"/>
  <c r="R17" i="109"/>
  <c r="R16" i="109"/>
  <c r="R15" i="109"/>
  <c r="R14" i="109"/>
  <c r="R13" i="109"/>
  <c r="R12" i="109"/>
  <c r="R11" i="109"/>
  <c r="R10" i="109"/>
  <c r="R9" i="109"/>
  <c r="R8" i="109"/>
  <c r="R7" i="109"/>
  <c r="R23" i="109" s="1"/>
  <c r="N2" i="109"/>
  <c r="H2" i="109"/>
  <c r="R91" i="108"/>
  <c r="R90" i="108"/>
  <c r="R89" i="108"/>
  <c r="R88" i="108"/>
  <c r="R87" i="108"/>
  <c r="R86" i="108"/>
  <c r="R85" i="108"/>
  <c r="R84" i="108"/>
  <c r="R83" i="108"/>
  <c r="R82" i="108"/>
  <c r="R81" i="108"/>
  <c r="R80" i="108"/>
  <c r="R79" i="108"/>
  <c r="R78" i="108"/>
  <c r="R77" i="108"/>
  <c r="R76" i="108"/>
  <c r="R92" i="108" s="1"/>
  <c r="R68" i="108"/>
  <c r="R67" i="108"/>
  <c r="R66" i="108"/>
  <c r="R65" i="108"/>
  <c r="R64" i="108"/>
  <c r="R63" i="108"/>
  <c r="R62" i="108"/>
  <c r="R61" i="108"/>
  <c r="R60" i="108"/>
  <c r="R59" i="108"/>
  <c r="R58" i="108"/>
  <c r="R57" i="108"/>
  <c r="R56" i="108"/>
  <c r="R55" i="108"/>
  <c r="R54" i="108"/>
  <c r="R53" i="108"/>
  <c r="R45" i="108"/>
  <c r="R44" i="108"/>
  <c r="R43" i="108"/>
  <c r="R42" i="108"/>
  <c r="R41" i="108"/>
  <c r="R40" i="108"/>
  <c r="R39" i="108"/>
  <c r="R38" i="108"/>
  <c r="R37" i="108"/>
  <c r="R36" i="108"/>
  <c r="R35" i="108"/>
  <c r="R34" i="108"/>
  <c r="R33" i="108"/>
  <c r="R32" i="108"/>
  <c r="R31" i="108"/>
  <c r="R30" i="108"/>
  <c r="R22" i="108"/>
  <c r="R21" i="108"/>
  <c r="R20" i="108"/>
  <c r="R19" i="108"/>
  <c r="R18" i="108"/>
  <c r="R17" i="108"/>
  <c r="R16" i="108"/>
  <c r="R15" i="108"/>
  <c r="R14" i="108"/>
  <c r="R13" i="108"/>
  <c r="R12" i="108"/>
  <c r="R11" i="108"/>
  <c r="R10" i="108"/>
  <c r="R9" i="108"/>
  <c r="R8" i="108"/>
  <c r="R7" i="108"/>
  <c r="R23" i="108" s="1"/>
  <c r="N2" i="108"/>
  <c r="H2" i="108"/>
  <c r="R45" i="107"/>
  <c r="R44" i="107"/>
  <c r="R43" i="107"/>
  <c r="R42" i="107"/>
  <c r="R41" i="107"/>
  <c r="R40" i="107"/>
  <c r="R39" i="107"/>
  <c r="R38" i="107"/>
  <c r="R37" i="107"/>
  <c r="R36" i="107"/>
  <c r="R35" i="107"/>
  <c r="R34" i="107"/>
  <c r="R33" i="107"/>
  <c r="R32" i="107"/>
  <c r="R31" i="107"/>
  <c r="R30" i="107"/>
  <c r="R22" i="107"/>
  <c r="R21" i="107"/>
  <c r="R20" i="107"/>
  <c r="R19" i="107"/>
  <c r="R18" i="107"/>
  <c r="R17" i="107"/>
  <c r="R16" i="107"/>
  <c r="R15" i="107"/>
  <c r="R14" i="107"/>
  <c r="R13" i="107"/>
  <c r="R12" i="107"/>
  <c r="R11" i="107"/>
  <c r="R10" i="107"/>
  <c r="R9" i="107"/>
  <c r="R8" i="107"/>
  <c r="R7" i="107"/>
  <c r="N2" i="107"/>
  <c r="H2" i="107"/>
  <c r="M46" i="106"/>
  <c r="K46" i="106"/>
  <c r="O45" i="106"/>
  <c r="M45" i="106"/>
  <c r="N45" i="106" s="1"/>
  <c r="K45" i="106"/>
  <c r="N44" i="106"/>
  <c r="M44" i="106"/>
  <c r="O44" i="106" s="1"/>
  <c r="K44" i="106"/>
  <c r="O43" i="106"/>
  <c r="M43" i="106"/>
  <c r="N43" i="106" s="1"/>
  <c r="K43" i="106"/>
  <c r="N42" i="106"/>
  <c r="M42" i="106"/>
  <c r="O42" i="106" s="1"/>
  <c r="K42" i="106"/>
  <c r="O41" i="106"/>
  <c r="M41" i="106"/>
  <c r="N41" i="106" s="1"/>
  <c r="K41" i="106"/>
  <c r="M40" i="106"/>
  <c r="O40" i="106" s="1"/>
  <c r="K40" i="106"/>
  <c r="O39" i="106"/>
  <c r="M39" i="106"/>
  <c r="N39" i="106" s="1"/>
  <c r="K39" i="106"/>
  <c r="M38" i="106"/>
  <c r="J38" i="106"/>
  <c r="K38" i="106" s="1"/>
  <c r="J37" i="106"/>
  <c r="K37" i="106" s="1"/>
  <c r="M37" i="106" s="1"/>
  <c r="J36" i="106"/>
  <c r="K36" i="106" s="1"/>
  <c r="O32" i="106"/>
  <c r="M32" i="106"/>
  <c r="N32" i="106" s="1"/>
  <c r="K32" i="106"/>
  <c r="M31" i="106"/>
  <c r="O31" i="106" s="1"/>
  <c r="K31" i="106"/>
  <c r="O30" i="106"/>
  <c r="M30" i="106"/>
  <c r="N30" i="106" s="1"/>
  <c r="K30" i="106"/>
  <c r="J30" i="106"/>
  <c r="K29" i="106"/>
  <c r="M29" i="106" s="1"/>
  <c r="O29" i="106" s="1"/>
  <c r="J28" i="106"/>
  <c r="K28" i="106" s="1"/>
  <c r="M28" i="106" s="1"/>
  <c r="O27" i="106"/>
  <c r="M27" i="106"/>
  <c r="N27" i="106" s="1"/>
  <c r="K27" i="106"/>
  <c r="K26" i="106"/>
  <c r="M26" i="106" s="1"/>
  <c r="O25" i="106"/>
  <c r="M25" i="106"/>
  <c r="N25" i="106" s="1"/>
  <c r="K25" i="106"/>
  <c r="K24" i="106"/>
  <c r="M24" i="106" s="1"/>
  <c r="O23" i="106"/>
  <c r="M23" i="106"/>
  <c r="N23" i="106" s="1"/>
  <c r="K23" i="106"/>
  <c r="K22" i="106"/>
  <c r="M22" i="106" s="1"/>
  <c r="O21" i="106"/>
  <c r="M21" i="106"/>
  <c r="N21" i="106" s="1"/>
  <c r="K21" i="106"/>
  <c r="K20" i="106"/>
  <c r="M20" i="106" s="1"/>
  <c r="O19" i="106"/>
  <c r="M19" i="106"/>
  <c r="N19" i="106" s="1"/>
  <c r="K19" i="106"/>
  <c r="K18" i="106"/>
  <c r="M18" i="106" s="1"/>
  <c r="O17" i="106"/>
  <c r="M17" i="106"/>
  <c r="N17" i="106" s="1"/>
  <c r="K17" i="106"/>
  <c r="K16" i="106"/>
  <c r="M16" i="106" s="1"/>
  <c r="O15" i="106"/>
  <c r="M15" i="106"/>
  <c r="N15" i="106" s="1"/>
  <c r="K15" i="106"/>
  <c r="K14" i="106"/>
  <c r="I12" i="106"/>
  <c r="G12" i="106"/>
  <c r="E12" i="106"/>
  <c r="E9" i="106"/>
  <c r="O7" i="106"/>
  <c r="H7" i="106"/>
  <c r="D7" i="106"/>
  <c r="H5" i="106"/>
  <c r="D5" i="106"/>
  <c r="H3" i="106"/>
  <c r="D3" i="106"/>
  <c r="N37" i="105"/>
  <c r="M37" i="105"/>
  <c r="O37" i="105" s="1"/>
  <c r="K37" i="105"/>
  <c r="O36" i="105"/>
  <c r="M36" i="105"/>
  <c r="N36" i="105" s="1"/>
  <c r="K36" i="105"/>
  <c r="N35" i="105"/>
  <c r="M35" i="105"/>
  <c r="O35" i="105" s="1"/>
  <c r="K35" i="105"/>
  <c r="O34" i="105"/>
  <c r="M34" i="105"/>
  <c r="N34" i="105" s="1"/>
  <c r="K34" i="105"/>
  <c r="M33" i="105"/>
  <c r="O33" i="105" s="1"/>
  <c r="K33" i="105"/>
  <c r="O32" i="105"/>
  <c r="M32" i="105"/>
  <c r="N32" i="105" s="1"/>
  <c r="K32" i="105"/>
  <c r="M31" i="105"/>
  <c r="K31" i="105"/>
  <c r="O30" i="105"/>
  <c r="M30" i="105"/>
  <c r="N30" i="105" s="1"/>
  <c r="K30" i="105"/>
  <c r="N29" i="105"/>
  <c r="M29" i="105"/>
  <c r="O29" i="105" s="1"/>
  <c r="J29" i="105"/>
  <c r="K29" i="105" s="1"/>
  <c r="J28" i="105"/>
  <c r="K28" i="105" s="1"/>
  <c r="M28" i="105" s="1"/>
  <c r="J27" i="105"/>
  <c r="K27" i="105" s="1"/>
  <c r="O23" i="105"/>
  <c r="M23" i="105"/>
  <c r="N23" i="105" s="1"/>
  <c r="K23" i="105"/>
  <c r="N22" i="105"/>
  <c r="M22" i="105"/>
  <c r="O22" i="105" s="1"/>
  <c r="K22" i="105"/>
  <c r="O21" i="105"/>
  <c r="M21" i="105"/>
  <c r="N21" i="105" s="1"/>
  <c r="K21" i="105"/>
  <c r="N20" i="105"/>
  <c r="M20" i="105"/>
  <c r="O20" i="105" s="1"/>
  <c r="K20" i="105"/>
  <c r="O19" i="105"/>
  <c r="M19" i="105"/>
  <c r="N19" i="105" s="1"/>
  <c r="K19" i="105"/>
  <c r="N18" i="105"/>
  <c r="M18" i="105"/>
  <c r="O18" i="105" s="1"/>
  <c r="K18" i="105"/>
  <c r="O17" i="105"/>
  <c r="M17" i="105"/>
  <c r="N17" i="105" s="1"/>
  <c r="K17" i="105"/>
  <c r="M16" i="105"/>
  <c r="O16" i="105" s="1"/>
  <c r="K16" i="105"/>
  <c r="O15" i="105"/>
  <c r="M15" i="105"/>
  <c r="N15" i="105" s="1"/>
  <c r="K15" i="105"/>
  <c r="N14" i="105"/>
  <c r="M14" i="105"/>
  <c r="K14" i="105"/>
  <c r="L12" i="105" s="1"/>
  <c r="I12" i="105"/>
  <c r="H12" i="105"/>
  <c r="G12" i="105"/>
  <c r="E12" i="105"/>
  <c r="E9" i="105"/>
  <c r="O7" i="105"/>
  <c r="H7" i="105"/>
  <c r="D7" i="105"/>
  <c r="H5" i="105"/>
  <c r="D5" i="105"/>
  <c r="H3" i="105"/>
  <c r="D3" i="105"/>
  <c r="L62" i="104"/>
  <c r="J62" i="104"/>
  <c r="K62" i="104" s="1"/>
  <c r="H62" i="104"/>
  <c r="H61" i="104"/>
  <c r="J61" i="104" s="1"/>
  <c r="L60" i="104"/>
  <c r="J60" i="104"/>
  <c r="K60" i="104" s="1"/>
  <c r="H60" i="104"/>
  <c r="H59" i="104"/>
  <c r="J59" i="104" s="1"/>
  <c r="L58" i="104"/>
  <c r="J58" i="104"/>
  <c r="K58" i="104" s="1"/>
  <c r="H58" i="104"/>
  <c r="H57" i="104"/>
  <c r="J57" i="104" s="1"/>
  <c r="L56" i="104"/>
  <c r="J56" i="104"/>
  <c r="K56" i="104" s="1"/>
  <c r="H56" i="104"/>
  <c r="H55" i="104"/>
  <c r="J55" i="104" s="1"/>
  <c r="L54" i="104"/>
  <c r="J54" i="104"/>
  <c r="K54" i="104" s="1"/>
  <c r="H54" i="104"/>
  <c r="H53" i="104"/>
  <c r="J50" i="104"/>
  <c r="K50" i="104" s="1"/>
  <c r="L50" i="104" s="1"/>
  <c r="H50" i="104"/>
  <c r="H49" i="104"/>
  <c r="J49" i="104" s="1"/>
  <c r="K49" i="104" s="1"/>
  <c r="L49" i="104" s="1"/>
  <c r="J48" i="104"/>
  <c r="K48" i="104" s="1"/>
  <c r="L48" i="104" s="1"/>
  <c r="H48" i="104"/>
  <c r="H47" i="104"/>
  <c r="J47" i="104" s="1"/>
  <c r="K47" i="104" s="1"/>
  <c r="L47" i="104" s="1"/>
  <c r="J46" i="104"/>
  <c r="K46" i="104" s="1"/>
  <c r="L46" i="104" s="1"/>
  <c r="H46" i="104"/>
  <c r="H45" i="104"/>
  <c r="J45" i="104" s="1"/>
  <c r="K45" i="104" s="1"/>
  <c r="L45" i="104" s="1"/>
  <c r="J44" i="104"/>
  <c r="K44" i="104" s="1"/>
  <c r="L44" i="104" s="1"/>
  <c r="H44" i="104"/>
  <c r="H43" i="104"/>
  <c r="J43" i="104" s="1"/>
  <c r="K43" i="104" s="1"/>
  <c r="L43" i="104" s="1"/>
  <c r="H42" i="104"/>
  <c r="J42" i="104" s="1"/>
  <c r="K42" i="104" s="1"/>
  <c r="L42" i="104" s="1"/>
  <c r="H41" i="104"/>
  <c r="J41" i="104" s="1"/>
  <c r="K41" i="104" s="1"/>
  <c r="L41" i="104" s="1"/>
  <c r="J40" i="104"/>
  <c r="K40" i="104" s="1"/>
  <c r="L40" i="104" s="1"/>
  <c r="H40" i="104"/>
  <c r="H39" i="104"/>
  <c r="J39" i="104" s="1"/>
  <c r="K39" i="104" s="1"/>
  <c r="L39" i="104" s="1"/>
  <c r="H37" i="104"/>
  <c r="J37" i="104" s="1"/>
  <c r="K37" i="104" s="1"/>
  <c r="L37" i="104" s="1"/>
  <c r="H36" i="104"/>
  <c r="J36" i="104" s="1"/>
  <c r="K36" i="104" s="1"/>
  <c r="L36" i="104" s="1"/>
  <c r="H35" i="104"/>
  <c r="J35" i="104" s="1"/>
  <c r="K35" i="104" s="1"/>
  <c r="L35" i="104" s="1"/>
  <c r="K33" i="104"/>
  <c r="L33" i="104" s="1"/>
  <c r="J33" i="104"/>
  <c r="G33" i="104"/>
  <c r="H33" i="104" s="1"/>
  <c r="G32" i="104"/>
  <c r="H32" i="104" s="1"/>
  <c r="J32" i="104" s="1"/>
  <c r="K32" i="104" s="1"/>
  <c r="L32" i="104" s="1"/>
  <c r="L31" i="104"/>
  <c r="J31" i="104"/>
  <c r="K31" i="104" s="1"/>
  <c r="K30" i="104"/>
  <c r="L30" i="104" s="1"/>
  <c r="J30" i="104"/>
  <c r="H30" i="104"/>
  <c r="L29" i="104"/>
  <c r="K29" i="104"/>
  <c r="H29" i="104"/>
  <c r="J29" i="104" s="1"/>
  <c r="K28" i="104"/>
  <c r="L28" i="104" s="1"/>
  <c r="J28" i="104"/>
  <c r="H28" i="104"/>
  <c r="L27" i="104"/>
  <c r="K27" i="104"/>
  <c r="H27" i="104"/>
  <c r="J27" i="104" s="1"/>
  <c r="K26" i="104"/>
  <c r="L26" i="104" s="1"/>
  <c r="J26" i="104"/>
  <c r="H26" i="104"/>
  <c r="H25" i="104"/>
  <c r="J25" i="104" s="1"/>
  <c r="K25" i="104" s="1"/>
  <c r="L25" i="104" s="1"/>
  <c r="K24" i="104"/>
  <c r="L24" i="104" s="1"/>
  <c r="J23" i="104"/>
  <c r="K23" i="104" s="1"/>
  <c r="L23" i="104" s="1"/>
  <c r="H23" i="104"/>
  <c r="G23" i="104"/>
  <c r="J22" i="104"/>
  <c r="K22" i="104" s="1"/>
  <c r="L22" i="104" s="1"/>
  <c r="H22" i="104"/>
  <c r="G22" i="104"/>
  <c r="L21" i="104"/>
  <c r="K21" i="104"/>
  <c r="H21" i="104"/>
  <c r="J21" i="104" s="1"/>
  <c r="G21" i="104"/>
  <c r="G20" i="104"/>
  <c r="H20" i="104" s="1"/>
  <c r="J20" i="104" s="1"/>
  <c r="K20" i="104" s="1"/>
  <c r="L20" i="104" s="1"/>
  <c r="H19" i="104"/>
  <c r="J19" i="104" s="1"/>
  <c r="K19" i="104" s="1"/>
  <c r="L19" i="104" s="1"/>
  <c r="G19" i="104"/>
  <c r="K18" i="104"/>
  <c r="L18" i="104" s="1"/>
  <c r="J18" i="104"/>
  <c r="G18" i="104"/>
  <c r="H18" i="104" s="1"/>
  <c r="G17" i="104"/>
  <c r="H17" i="104" s="1"/>
  <c r="J17" i="104" s="1"/>
  <c r="K17" i="104" s="1"/>
  <c r="L17" i="104" s="1"/>
  <c r="G16" i="104"/>
  <c r="H16" i="104" s="1"/>
  <c r="J16" i="104" s="1"/>
  <c r="K16" i="104" s="1"/>
  <c r="L16" i="104" s="1"/>
  <c r="H15" i="104"/>
  <c r="G15" i="104"/>
  <c r="D9" i="104"/>
  <c r="L7" i="104"/>
  <c r="G7" i="104"/>
  <c r="C7" i="104"/>
  <c r="G5" i="104"/>
  <c r="C5" i="104"/>
  <c r="G3" i="104"/>
  <c r="C3" i="104"/>
  <c r="H61" i="103"/>
  <c r="J61" i="103" s="1"/>
  <c r="L60" i="103"/>
  <c r="J60" i="103"/>
  <c r="K60" i="103" s="1"/>
  <c r="H60" i="103"/>
  <c r="H59" i="103"/>
  <c r="J59" i="103" s="1"/>
  <c r="L58" i="103"/>
  <c r="J58" i="103"/>
  <c r="K58" i="103" s="1"/>
  <c r="H58" i="103"/>
  <c r="H57" i="103"/>
  <c r="J57" i="103" s="1"/>
  <c r="L56" i="103"/>
  <c r="J56" i="103"/>
  <c r="K56" i="103" s="1"/>
  <c r="H56" i="103"/>
  <c r="H55" i="103"/>
  <c r="J55" i="103" s="1"/>
  <c r="L54" i="103"/>
  <c r="J54" i="103"/>
  <c r="K54" i="103" s="1"/>
  <c r="H54" i="103"/>
  <c r="H53" i="103"/>
  <c r="J53" i="103" s="1"/>
  <c r="L52" i="103"/>
  <c r="J52" i="103"/>
  <c r="K52" i="103" s="1"/>
  <c r="H52" i="103"/>
  <c r="H51" i="103"/>
  <c r="H49" i="103"/>
  <c r="J49" i="103" s="1"/>
  <c r="K49" i="103" s="1"/>
  <c r="L49" i="103" s="1"/>
  <c r="J48" i="103"/>
  <c r="K48" i="103" s="1"/>
  <c r="L48" i="103" s="1"/>
  <c r="H48" i="103"/>
  <c r="H47" i="103"/>
  <c r="J47" i="103" s="1"/>
  <c r="K47" i="103" s="1"/>
  <c r="L47" i="103" s="1"/>
  <c r="J46" i="103"/>
  <c r="K46" i="103" s="1"/>
  <c r="L46" i="103" s="1"/>
  <c r="H46" i="103"/>
  <c r="H45" i="103"/>
  <c r="J45" i="103" s="1"/>
  <c r="K45" i="103" s="1"/>
  <c r="L45" i="103" s="1"/>
  <c r="S44" i="103"/>
  <c r="K44" i="103"/>
  <c r="L44" i="103" s="1"/>
  <c r="J44" i="103"/>
  <c r="H44" i="103"/>
  <c r="S43" i="103"/>
  <c r="K43" i="103"/>
  <c r="L43" i="103" s="1"/>
  <c r="J43" i="103"/>
  <c r="H43" i="103"/>
  <c r="S42" i="103"/>
  <c r="L42" i="103"/>
  <c r="J42" i="103"/>
  <c r="K42" i="103" s="1"/>
  <c r="H42" i="103"/>
  <c r="S41" i="103"/>
  <c r="J41" i="103"/>
  <c r="K41" i="103" s="1"/>
  <c r="L41" i="103" s="1"/>
  <c r="H41" i="103"/>
  <c r="S40" i="103"/>
  <c r="J40" i="103"/>
  <c r="K40" i="103" s="1"/>
  <c r="L40" i="103" s="1"/>
  <c r="H40" i="103"/>
  <c r="S39" i="103"/>
  <c r="H39" i="103"/>
  <c r="J39" i="103" s="1"/>
  <c r="K39" i="103" s="1"/>
  <c r="L39" i="103" s="1"/>
  <c r="S38" i="103"/>
  <c r="H38" i="103"/>
  <c r="J38" i="103" s="1"/>
  <c r="K38" i="103" s="1"/>
  <c r="L38" i="103" s="1"/>
  <c r="L36" i="103"/>
  <c r="J36" i="103"/>
  <c r="K36" i="103" s="1"/>
  <c r="H36" i="103"/>
  <c r="H35" i="103"/>
  <c r="J35" i="103" s="1"/>
  <c r="K35" i="103" s="1"/>
  <c r="L35" i="103" s="1"/>
  <c r="J34" i="103"/>
  <c r="K34" i="103" s="1"/>
  <c r="L34" i="103" s="1"/>
  <c r="H34" i="103"/>
  <c r="H32" i="103"/>
  <c r="J32" i="103" s="1"/>
  <c r="K32" i="103" s="1"/>
  <c r="L32" i="103" s="1"/>
  <c r="G32" i="103"/>
  <c r="G31" i="103"/>
  <c r="H31" i="103" s="1"/>
  <c r="J31" i="103" s="1"/>
  <c r="K31" i="103" s="1"/>
  <c r="L31" i="103" s="1"/>
  <c r="K30" i="103"/>
  <c r="L30" i="103" s="1"/>
  <c r="J30" i="103"/>
  <c r="K29" i="103"/>
  <c r="L29" i="103" s="1"/>
  <c r="J29" i="103"/>
  <c r="H29" i="103"/>
  <c r="J28" i="103"/>
  <c r="K28" i="103" s="1"/>
  <c r="L28" i="103" s="1"/>
  <c r="H28" i="103"/>
  <c r="K27" i="103"/>
  <c r="L27" i="103" s="1"/>
  <c r="J27" i="103"/>
  <c r="H27" i="103"/>
  <c r="J26" i="103"/>
  <c r="K26" i="103" s="1"/>
  <c r="L26" i="103" s="1"/>
  <c r="H26" i="103"/>
  <c r="K25" i="103"/>
  <c r="L25" i="103" s="1"/>
  <c r="J25" i="103"/>
  <c r="H25" i="103"/>
  <c r="J24" i="103"/>
  <c r="K24" i="103" s="1"/>
  <c r="L24" i="103" s="1"/>
  <c r="H24" i="103"/>
  <c r="J23" i="103"/>
  <c r="K23" i="103" s="1"/>
  <c r="L23" i="103" s="1"/>
  <c r="H22" i="103"/>
  <c r="J22" i="103" s="1"/>
  <c r="K22" i="103" s="1"/>
  <c r="L22" i="103" s="1"/>
  <c r="G22" i="103"/>
  <c r="G21" i="103"/>
  <c r="H21" i="103" s="1"/>
  <c r="K20" i="103"/>
  <c r="L20" i="103" s="1"/>
  <c r="J20" i="103"/>
  <c r="H20" i="103"/>
  <c r="L19" i="103"/>
  <c r="K19" i="103"/>
  <c r="H19" i="103"/>
  <c r="J19" i="103" s="1"/>
  <c r="K18" i="103"/>
  <c r="L18" i="103" s="1"/>
  <c r="J18" i="103"/>
  <c r="H18" i="103"/>
  <c r="K17" i="103"/>
  <c r="L17" i="103" s="1"/>
  <c r="H17" i="103"/>
  <c r="J17" i="103" s="1"/>
  <c r="K16" i="103"/>
  <c r="L16" i="103" s="1"/>
  <c r="J16" i="103"/>
  <c r="H16" i="103"/>
  <c r="H15" i="103"/>
  <c r="J15" i="103" s="1"/>
  <c r="G15" i="103"/>
  <c r="D9" i="103"/>
  <c r="L7" i="103"/>
  <c r="G7" i="103"/>
  <c r="C7" i="103"/>
  <c r="G5" i="103"/>
  <c r="C5" i="103"/>
  <c r="G3" i="103"/>
  <c r="C3" i="103"/>
  <c r="J55" i="102"/>
  <c r="I55" i="102"/>
  <c r="K55" i="102" s="1"/>
  <c r="G55" i="102"/>
  <c r="K54" i="102"/>
  <c r="I54" i="102"/>
  <c r="J54" i="102" s="1"/>
  <c r="G54" i="102"/>
  <c r="J53" i="102"/>
  <c r="I53" i="102"/>
  <c r="K53" i="102" s="1"/>
  <c r="G53" i="102"/>
  <c r="K52" i="102"/>
  <c r="I52" i="102"/>
  <c r="J52" i="102" s="1"/>
  <c r="G52" i="102"/>
  <c r="I51" i="102"/>
  <c r="F51" i="102"/>
  <c r="G51" i="102" s="1"/>
  <c r="F50" i="102"/>
  <c r="G50" i="102" s="1"/>
  <c r="I50" i="102" s="1"/>
  <c r="K49" i="102"/>
  <c r="F49" i="102"/>
  <c r="G49" i="102" s="1"/>
  <c r="I49" i="102" s="1"/>
  <c r="J49" i="102" s="1"/>
  <c r="I48" i="102"/>
  <c r="G48" i="102"/>
  <c r="F48" i="102"/>
  <c r="K47" i="102"/>
  <c r="I47" i="102"/>
  <c r="J47" i="102" s="1"/>
  <c r="G47" i="102"/>
  <c r="F47" i="102"/>
  <c r="K46" i="102"/>
  <c r="J46" i="102"/>
  <c r="G46" i="102"/>
  <c r="I46" i="102" s="1"/>
  <c r="F46" i="102"/>
  <c r="G45" i="102"/>
  <c r="I45" i="102" s="1"/>
  <c r="F45" i="102"/>
  <c r="G44" i="102"/>
  <c r="I44" i="102" s="1"/>
  <c r="F44" i="102"/>
  <c r="J41" i="102"/>
  <c r="I41" i="102"/>
  <c r="K41" i="102" s="1"/>
  <c r="G41" i="102"/>
  <c r="K40" i="102"/>
  <c r="J40" i="102"/>
  <c r="G40" i="102"/>
  <c r="I40" i="102" s="1"/>
  <c r="F40" i="102"/>
  <c r="G39" i="102"/>
  <c r="I39" i="102" s="1"/>
  <c r="F39" i="102"/>
  <c r="G38" i="102"/>
  <c r="I38" i="102" s="1"/>
  <c r="F38" i="102"/>
  <c r="J37" i="102"/>
  <c r="I37" i="102"/>
  <c r="K37" i="102" s="1"/>
  <c r="G37" i="102"/>
  <c r="K36" i="102"/>
  <c r="I36" i="102"/>
  <c r="J36" i="102" s="1"/>
  <c r="G36" i="102"/>
  <c r="F36" i="102"/>
  <c r="K35" i="102"/>
  <c r="J35" i="102"/>
  <c r="G35" i="102"/>
  <c r="I35" i="102" s="1"/>
  <c r="F35" i="102"/>
  <c r="G34" i="102"/>
  <c r="I34" i="102" s="1"/>
  <c r="K33" i="102"/>
  <c r="I33" i="102"/>
  <c r="J33" i="102" s="1"/>
  <c r="G33" i="102"/>
  <c r="G32" i="102"/>
  <c r="I32" i="102" s="1"/>
  <c r="K31" i="102"/>
  <c r="F31" i="102"/>
  <c r="G31" i="102" s="1"/>
  <c r="I31" i="102" s="1"/>
  <c r="J31" i="102" s="1"/>
  <c r="I30" i="102"/>
  <c r="G30" i="102"/>
  <c r="F30" i="102"/>
  <c r="K29" i="102"/>
  <c r="I29" i="102"/>
  <c r="J29" i="102" s="1"/>
  <c r="G29" i="102"/>
  <c r="F29" i="102"/>
  <c r="K28" i="102"/>
  <c r="J28" i="102"/>
  <c r="G28" i="102"/>
  <c r="I28" i="102" s="1"/>
  <c r="F28" i="102"/>
  <c r="F27" i="102"/>
  <c r="G27" i="102" s="1"/>
  <c r="I27" i="102" s="1"/>
  <c r="G26" i="102"/>
  <c r="I26" i="102" s="1"/>
  <c r="F26" i="102"/>
  <c r="J25" i="102"/>
  <c r="I25" i="102"/>
  <c r="K25" i="102" s="1"/>
  <c r="F25" i="102"/>
  <c r="G25" i="102" s="1"/>
  <c r="F24" i="102"/>
  <c r="G24" i="102" s="1"/>
  <c r="I24" i="102" s="1"/>
  <c r="F23" i="102"/>
  <c r="G23" i="102" s="1"/>
  <c r="I23" i="102" s="1"/>
  <c r="J23" i="102" s="1"/>
  <c r="I22" i="102"/>
  <c r="G22" i="102"/>
  <c r="F22" i="102"/>
  <c r="K21" i="102"/>
  <c r="I21" i="102"/>
  <c r="J21" i="102" s="1"/>
  <c r="G21" i="102"/>
  <c r="F21" i="102"/>
  <c r="J20" i="102"/>
  <c r="G20" i="102"/>
  <c r="I20" i="102" s="1"/>
  <c r="K20" i="102" s="1"/>
  <c r="F20" i="102"/>
  <c r="G19" i="102"/>
  <c r="I19" i="102" s="1"/>
  <c r="F19" i="102"/>
  <c r="G18" i="102"/>
  <c r="I18" i="102" s="1"/>
  <c r="J17" i="102"/>
  <c r="I17" i="102"/>
  <c r="K16" i="102"/>
  <c r="J16" i="102"/>
  <c r="G16" i="102"/>
  <c r="I16" i="102" s="1"/>
  <c r="F16" i="102"/>
  <c r="F15" i="102"/>
  <c r="G15" i="102" s="1"/>
  <c r="G14" i="102"/>
  <c r="I14" i="102" s="1"/>
  <c r="F14" i="102"/>
  <c r="D10" i="102"/>
  <c r="K7" i="102"/>
  <c r="F7" i="102"/>
  <c r="C7" i="102"/>
  <c r="F5" i="102"/>
  <c r="C5" i="102"/>
  <c r="F3" i="102"/>
  <c r="C3" i="102"/>
  <c r="G66" i="101"/>
  <c r="I66" i="101" s="1"/>
  <c r="G65" i="101"/>
  <c r="I65" i="101" s="1"/>
  <c r="G64" i="101"/>
  <c r="I64" i="101" s="1"/>
  <c r="G63" i="101"/>
  <c r="I63" i="101" s="1"/>
  <c r="I62" i="101"/>
  <c r="G62" i="101"/>
  <c r="G61" i="101"/>
  <c r="I61" i="101" s="1"/>
  <c r="I60" i="101"/>
  <c r="G60" i="101"/>
  <c r="G59" i="101"/>
  <c r="I59" i="101" s="1"/>
  <c r="I58" i="101"/>
  <c r="G58" i="101"/>
  <c r="F58" i="101"/>
  <c r="K57" i="101"/>
  <c r="I57" i="101"/>
  <c r="G57" i="101"/>
  <c r="F57" i="101"/>
  <c r="I54" i="101"/>
  <c r="G54" i="101"/>
  <c r="K53" i="101"/>
  <c r="I53" i="101"/>
  <c r="J53" i="101" s="1"/>
  <c r="O53" i="101" s="1"/>
  <c r="G53" i="101"/>
  <c r="G52" i="101"/>
  <c r="I52" i="101" s="1"/>
  <c r="G51" i="101"/>
  <c r="I51" i="101" s="1"/>
  <c r="G50" i="101"/>
  <c r="I50" i="101" s="1"/>
  <c r="I49" i="101"/>
  <c r="G49" i="101"/>
  <c r="P48" i="101"/>
  <c r="J48" i="101"/>
  <c r="I48" i="101"/>
  <c r="K48" i="101" s="1"/>
  <c r="G48" i="101"/>
  <c r="K47" i="101"/>
  <c r="I47" i="101"/>
  <c r="J47" i="101" s="1"/>
  <c r="P47" i="101" s="1"/>
  <c r="G47" i="101"/>
  <c r="G46" i="101"/>
  <c r="I46" i="101" s="1"/>
  <c r="K45" i="101"/>
  <c r="I45" i="101"/>
  <c r="J45" i="101" s="1"/>
  <c r="P45" i="101" s="1"/>
  <c r="G45" i="101"/>
  <c r="K44" i="101"/>
  <c r="J44" i="101"/>
  <c r="P44" i="101" s="1"/>
  <c r="G44" i="101"/>
  <c r="I44" i="101" s="1"/>
  <c r="G43" i="101"/>
  <c r="I43" i="101" s="1"/>
  <c r="G42" i="101"/>
  <c r="I42" i="101" s="1"/>
  <c r="J41" i="101"/>
  <c r="P41" i="101" s="1"/>
  <c r="I41" i="101"/>
  <c r="K41" i="101" s="1"/>
  <c r="G41" i="101"/>
  <c r="P40" i="101"/>
  <c r="J40" i="101"/>
  <c r="I40" i="101"/>
  <c r="K40" i="101" s="1"/>
  <c r="G40" i="101"/>
  <c r="N39" i="101"/>
  <c r="K39" i="101"/>
  <c r="I39" i="101"/>
  <c r="J39" i="101" s="1"/>
  <c r="G39" i="101"/>
  <c r="I38" i="101"/>
  <c r="G38" i="101"/>
  <c r="K37" i="101"/>
  <c r="I37" i="101"/>
  <c r="J37" i="101" s="1"/>
  <c r="N37" i="101" s="1"/>
  <c r="G37" i="101"/>
  <c r="K36" i="101"/>
  <c r="J36" i="101"/>
  <c r="N36" i="101" s="1"/>
  <c r="G36" i="101"/>
  <c r="I36" i="101" s="1"/>
  <c r="F36" i="101"/>
  <c r="G35" i="101"/>
  <c r="I35" i="101" s="1"/>
  <c r="K34" i="101"/>
  <c r="I34" i="101"/>
  <c r="J34" i="101" s="1"/>
  <c r="N34" i="101" s="1"/>
  <c r="G34" i="101"/>
  <c r="G33" i="101"/>
  <c r="I33" i="101" s="1"/>
  <c r="G32" i="101"/>
  <c r="I32" i="101" s="1"/>
  <c r="G31" i="101"/>
  <c r="I31" i="101" s="1"/>
  <c r="J30" i="101"/>
  <c r="N30" i="101" s="1"/>
  <c r="I30" i="101"/>
  <c r="K30" i="101" s="1"/>
  <c r="G30" i="101"/>
  <c r="N29" i="101"/>
  <c r="J29" i="101"/>
  <c r="I29" i="101"/>
  <c r="K29" i="101" s="1"/>
  <c r="G29" i="101"/>
  <c r="N28" i="101"/>
  <c r="K28" i="101"/>
  <c r="F28" i="101"/>
  <c r="G28" i="101" s="1"/>
  <c r="I28" i="101" s="1"/>
  <c r="J28" i="101" s="1"/>
  <c r="F27" i="101"/>
  <c r="G27" i="101" s="1"/>
  <c r="I27" i="101" s="1"/>
  <c r="F26" i="101"/>
  <c r="G26" i="101" s="1"/>
  <c r="I26" i="101" s="1"/>
  <c r="K25" i="101"/>
  <c r="I25" i="101"/>
  <c r="J25" i="101" s="1"/>
  <c r="N25" i="101" s="1"/>
  <c r="G25" i="101"/>
  <c r="F25" i="101"/>
  <c r="M24" i="101"/>
  <c r="K24" i="101"/>
  <c r="I24" i="101"/>
  <c r="J24" i="101" s="1"/>
  <c r="G24" i="101"/>
  <c r="I23" i="101"/>
  <c r="G23" i="101"/>
  <c r="K22" i="101"/>
  <c r="I22" i="101"/>
  <c r="J22" i="101" s="1"/>
  <c r="M22" i="101" s="1"/>
  <c r="G22" i="101"/>
  <c r="K21" i="101"/>
  <c r="G21" i="101"/>
  <c r="I21" i="101" s="1"/>
  <c r="J21" i="101" s="1"/>
  <c r="M21" i="101" s="1"/>
  <c r="G20" i="101"/>
  <c r="I20" i="101" s="1"/>
  <c r="G19" i="101"/>
  <c r="I19" i="101" s="1"/>
  <c r="F19" i="101"/>
  <c r="K18" i="101"/>
  <c r="J18" i="101"/>
  <c r="M18" i="101" s="1"/>
  <c r="G18" i="101"/>
  <c r="I18" i="101" s="1"/>
  <c r="F18" i="101"/>
  <c r="I17" i="101"/>
  <c r="G17" i="101"/>
  <c r="K16" i="101"/>
  <c r="I16" i="101"/>
  <c r="J16" i="101" s="1"/>
  <c r="M16" i="101" s="1"/>
  <c r="G16" i="101"/>
  <c r="K15" i="101"/>
  <c r="G15" i="101"/>
  <c r="I15" i="101" s="1"/>
  <c r="J15" i="101" s="1"/>
  <c r="M15" i="101" s="1"/>
  <c r="F15" i="101"/>
  <c r="I14" i="101"/>
  <c r="G14" i="101"/>
  <c r="G12" i="101" s="1"/>
  <c r="F14" i="101"/>
  <c r="F13" i="101"/>
  <c r="G13" i="101" s="1"/>
  <c r="H12" i="101" s="1"/>
  <c r="D9" i="101"/>
  <c r="K7" i="101"/>
  <c r="F7" i="101"/>
  <c r="C7" i="101"/>
  <c r="F5" i="101"/>
  <c r="C5" i="101"/>
  <c r="F3" i="101"/>
  <c r="C3" i="101"/>
  <c r="J66" i="100"/>
  <c r="I66" i="100"/>
  <c r="K66" i="100" s="1"/>
  <c r="G66" i="100"/>
  <c r="K65" i="100"/>
  <c r="I65" i="100"/>
  <c r="J65" i="100" s="1"/>
  <c r="G65" i="100"/>
  <c r="I64" i="100"/>
  <c r="K64" i="100" s="1"/>
  <c r="G64" i="100"/>
  <c r="K63" i="100"/>
  <c r="I63" i="100"/>
  <c r="J63" i="100" s="1"/>
  <c r="G63" i="100"/>
  <c r="I62" i="100"/>
  <c r="G62" i="100"/>
  <c r="K61" i="100"/>
  <c r="I61" i="100"/>
  <c r="J61" i="100" s="1"/>
  <c r="G61" i="100"/>
  <c r="J60" i="100"/>
  <c r="I60" i="100"/>
  <c r="K60" i="100" s="1"/>
  <c r="G60" i="100"/>
  <c r="K59" i="100"/>
  <c r="I59" i="100"/>
  <c r="J59" i="100" s="1"/>
  <c r="G59" i="100"/>
  <c r="F59" i="100"/>
  <c r="K58" i="100"/>
  <c r="J58" i="100"/>
  <c r="G58" i="100"/>
  <c r="I58" i="100" s="1"/>
  <c r="F58" i="100"/>
  <c r="G57" i="100"/>
  <c r="F57" i="100"/>
  <c r="I54" i="100"/>
  <c r="G54" i="100"/>
  <c r="K53" i="100"/>
  <c r="I53" i="100"/>
  <c r="J53" i="100" s="1"/>
  <c r="G53" i="100"/>
  <c r="J52" i="100"/>
  <c r="I52" i="100"/>
  <c r="K52" i="100" s="1"/>
  <c r="G52" i="100"/>
  <c r="K51" i="100"/>
  <c r="I51" i="100"/>
  <c r="J51" i="100" s="1"/>
  <c r="G51" i="100"/>
  <c r="J50" i="100"/>
  <c r="I50" i="100"/>
  <c r="K50" i="100" s="1"/>
  <c r="G50" i="100"/>
  <c r="K49" i="100"/>
  <c r="I49" i="100"/>
  <c r="J49" i="100" s="1"/>
  <c r="G49" i="100"/>
  <c r="J48" i="100"/>
  <c r="I48" i="100"/>
  <c r="K48" i="100" s="1"/>
  <c r="G48" i="100"/>
  <c r="K47" i="100"/>
  <c r="I47" i="100"/>
  <c r="J47" i="100" s="1"/>
  <c r="G47" i="100"/>
  <c r="I46" i="100"/>
  <c r="G46" i="100"/>
  <c r="K45" i="100"/>
  <c r="I45" i="100"/>
  <c r="J45" i="100" s="1"/>
  <c r="G45" i="100"/>
  <c r="J44" i="100"/>
  <c r="I44" i="100"/>
  <c r="K44" i="100" s="1"/>
  <c r="G44" i="100"/>
  <c r="K43" i="100"/>
  <c r="I43" i="100"/>
  <c r="J43" i="100" s="1"/>
  <c r="G43" i="100"/>
  <c r="J42" i="100"/>
  <c r="I42" i="100"/>
  <c r="K42" i="100" s="1"/>
  <c r="G42" i="100"/>
  <c r="K41" i="100"/>
  <c r="I41" i="100"/>
  <c r="J41" i="100" s="1"/>
  <c r="G41" i="100"/>
  <c r="J40" i="100"/>
  <c r="I40" i="100"/>
  <c r="K40" i="100" s="1"/>
  <c r="G40" i="100"/>
  <c r="K39" i="100"/>
  <c r="I39" i="100"/>
  <c r="J39" i="100" s="1"/>
  <c r="G39" i="100"/>
  <c r="I38" i="100"/>
  <c r="G38" i="100"/>
  <c r="K37" i="100"/>
  <c r="I37" i="100"/>
  <c r="J37" i="100" s="1"/>
  <c r="G37" i="100"/>
  <c r="F36" i="100"/>
  <c r="G36" i="100" s="1"/>
  <c r="I36" i="100" s="1"/>
  <c r="K36" i="100" s="1"/>
  <c r="J35" i="100"/>
  <c r="I35" i="100"/>
  <c r="K35" i="100" s="1"/>
  <c r="G35" i="100"/>
  <c r="G34" i="100"/>
  <c r="I34" i="100" s="1"/>
  <c r="J33" i="100"/>
  <c r="I33" i="100"/>
  <c r="K33" i="100" s="1"/>
  <c r="G33" i="100"/>
  <c r="K32" i="100"/>
  <c r="J32" i="100"/>
  <c r="G32" i="100"/>
  <c r="I32" i="100" s="1"/>
  <c r="J31" i="100"/>
  <c r="I31" i="100"/>
  <c r="K31" i="100" s="1"/>
  <c r="G31" i="100"/>
  <c r="J30" i="100"/>
  <c r="G30" i="100"/>
  <c r="I30" i="100" s="1"/>
  <c r="K30" i="100" s="1"/>
  <c r="J29" i="100"/>
  <c r="I29" i="100"/>
  <c r="K29" i="100" s="1"/>
  <c r="G29" i="100"/>
  <c r="K28" i="100"/>
  <c r="G28" i="100"/>
  <c r="I28" i="100" s="1"/>
  <c r="J28" i="100" s="1"/>
  <c r="J27" i="100"/>
  <c r="I27" i="100"/>
  <c r="K27" i="100" s="1"/>
  <c r="G27" i="100"/>
  <c r="G26" i="100"/>
  <c r="I26" i="100" s="1"/>
  <c r="J25" i="100"/>
  <c r="I25" i="100"/>
  <c r="K25" i="100" s="1"/>
  <c r="G25" i="100"/>
  <c r="K24" i="100"/>
  <c r="J24" i="100"/>
  <c r="G24" i="100"/>
  <c r="I24" i="100" s="1"/>
  <c r="J23" i="100"/>
  <c r="I23" i="100"/>
  <c r="K23" i="100" s="1"/>
  <c r="G23" i="100"/>
  <c r="J22" i="100"/>
  <c r="G22" i="100"/>
  <c r="I22" i="100" s="1"/>
  <c r="K22" i="100" s="1"/>
  <c r="J21" i="100"/>
  <c r="I21" i="100"/>
  <c r="K21" i="100" s="1"/>
  <c r="G21" i="100"/>
  <c r="K20" i="100"/>
  <c r="G20" i="100"/>
  <c r="I20" i="100" s="1"/>
  <c r="J20" i="100" s="1"/>
  <c r="J19" i="100"/>
  <c r="I19" i="100"/>
  <c r="K19" i="100" s="1"/>
  <c r="G19" i="100"/>
  <c r="G18" i="100"/>
  <c r="I18" i="100" s="1"/>
  <c r="F18" i="100"/>
  <c r="G17" i="100"/>
  <c r="I17" i="100" s="1"/>
  <c r="K16" i="100"/>
  <c r="I16" i="100"/>
  <c r="J16" i="100" s="1"/>
  <c r="G16" i="100"/>
  <c r="G15" i="100"/>
  <c r="I15" i="100" s="1"/>
  <c r="K14" i="100"/>
  <c r="I14" i="100"/>
  <c r="J14" i="100" s="1"/>
  <c r="G14" i="100"/>
  <c r="G13" i="100"/>
  <c r="D9" i="100"/>
  <c r="K7" i="100"/>
  <c r="F7" i="100"/>
  <c r="C7" i="100"/>
  <c r="F5" i="100"/>
  <c r="C5" i="100"/>
  <c r="F3" i="100"/>
  <c r="C3" i="100"/>
  <c r="R91" i="99"/>
  <c r="R90" i="99"/>
  <c r="R89" i="99"/>
  <c r="R88" i="99"/>
  <c r="R87" i="99"/>
  <c r="R86" i="99"/>
  <c r="R85" i="99"/>
  <c r="R84" i="99"/>
  <c r="R83" i="99"/>
  <c r="R82" i="99"/>
  <c r="R81" i="99"/>
  <c r="R80" i="99"/>
  <c r="R79" i="99"/>
  <c r="R78" i="99"/>
  <c r="R77" i="99"/>
  <c r="R76" i="99"/>
  <c r="R68" i="99"/>
  <c r="R67" i="99"/>
  <c r="R66" i="99"/>
  <c r="R65" i="99"/>
  <c r="R64" i="99"/>
  <c r="R63" i="99"/>
  <c r="R62" i="99"/>
  <c r="R61" i="99"/>
  <c r="R60" i="99"/>
  <c r="R59" i="99"/>
  <c r="R58" i="99"/>
  <c r="R57" i="99"/>
  <c r="R56" i="99"/>
  <c r="R55" i="99"/>
  <c r="R54" i="99"/>
  <c r="R53" i="99"/>
  <c r="R69" i="99" s="1"/>
  <c r="R45" i="99"/>
  <c r="R44" i="99"/>
  <c r="R43" i="99"/>
  <c r="R42" i="99"/>
  <c r="R41" i="99"/>
  <c r="R40" i="99"/>
  <c r="R39" i="99"/>
  <c r="R38" i="99"/>
  <c r="R37" i="99"/>
  <c r="R36" i="99"/>
  <c r="R35" i="99"/>
  <c r="R34" i="99"/>
  <c r="R33" i="99"/>
  <c r="R32" i="99"/>
  <c r="R31" i="99"/>
  <c r="R30" i="99"/>
  <c r="R22" i="99"/>
  <c r="R21" i="99"/>
  <c r="R20" i="99"/>
  <c r="R19" i="99"/>
  <c r="R18" i="99"/>
  <c r="R17" i="99"/>
  <c r="R16" i="99"/>
  <c r="R15" i="99"/>
  <c r="R14" i="99"/>
  <c r="R13" i="99"/>
  <c r="R12" i="99"/>
  <c r="R11" i="99"/>
  <c r="R10" i="99"/>
  <c r="R9" i="99"/>
  <c r="R8" i="99"/>
  <c r="R7" i="99"/>
  <c r="N2" i="99"/>
  <c r="H2" i="99"/>
  <c r="R91" i="98"/>
  <c r="R90" i="98"/>
  <c r="R89" i="98"/>
  <c r="R88" i="98"/>
  <c r="R87" i="98"/>
  <c r="R86" i="98"/>
  <c r="R85" i="98"/>
  <c r="R84" i="98"/>
  <c r="R83" i="98"/>
  <c r="R82" i="98"/>
  <c r="R81" i="98"/>
  <c r="R80" i="98"/>
  <c r="R79" i="98"/>
  <c r="R78" i="98"/>
  <c r="R77" i="98"/>
  <c r="R76" i="98"/>
  <c r="R68" i="98"/>
  <c r="R67" i="98"/>
  <c r="R66" i="98"/>
  <c r="R65" i="98"/>
  <c r="R64" i="98"/>
  <c r="R63" i="98"/>
  <c r="R62" i="98"/>
  <c r="R61" i="98"/>
  <c r="R60" i="98"/>
  <c r="R59" i="98"/>
  <c r="R58" i="98"/>
  <c r="R57" i="98"/>
  <c r="R56" i="98"/>
  <c r="R55" i="98"/>
  <c r="R54" i="98"/>
  <c r="R53" i="98"/>
  <c r="R69" i="98" s="1"/>
  <c r="R45" i="98"/>
  <c r="R44" i="98"/>
  <c r="R43" i="98"/>
  <c r="R42" i="98"/>
  <c r="R41" i="98"/>
  <c r="R40" i="98"/>
  <c r="R39" i="98"/>
  <c r="R38" i="98"/>
  <c r="R37" i="98"/>
  <c r="R36" i="98"/>
  <c r="R35" i="98"/>
  <c r="R34" i="98"/>
  <c r="R33" i="98"/>
  <c r="R32" i="98"/>
  <c r="R31" i="98"/>
  <c r="R30" i="98"/>
  <c r="R46" i="98" s="1"/>
  <c r="R22" i="98"/>
  <c r="R21" i="98"/>
  <c r="R20" i="98"/>
  <c r="R19" i="98"/>
  <c r="R18" i="98"/>
  <c r="R17" i="98"/>
  <c r="R16" i="98"/>
  <c r="R15" i="98"/>
  <c r="R14" i="98"/>
  <c r="R13" i="98"/>
  <c r="R12" i="98"/>
  <c r="R11" i="98"/>
  <c r="R10" i="98"/>
  <c r="R9" i="98"/>
  <c r="R8" i="98"/>
  <c r="R7" i="98"/>
  <c r="N2" i="98"/>
  <c r="H2" i="98"/>
  <c r="R45" i="97"/>
  <c r="R44" i="97"/>
  <c r="R43" i="97"/>
  <c r="R42" i="97"/>
  <c r="R41" i="97"/>
  <c r="R40" i="97"/>
  <c r="R39" i="97"/>
  <c r="R38" i="97"/>
  <c r="R37" i="97"/>
  <c r="R36" i="97"/>
  <c r="R35" i="97"/>
  <c r="R34" i="97"/>
  <c r="R33" i="97"/>
  <c r="R32" i="97"/>
  <c r="R31" i="97"/>
  <c r="R30" i="97"/>
  <c r="R46" i="97" s="1"/>
  <c r="R22" i="97"/>
  <c r="R21" i="97"/>
  <c r="R20" i="97"/>
  <c r="R19" i="97"/>
  <c r="R18" i="97"/>
  <c r="R17" i="97"/>
  <c r="R16" i="97"/>
  <c r="R15" i="97"/>
  <c r="R14" i="97"/>
  <c r="R13" i="97"/>
  <c r="R12" i="97"/>
  <c r="R11" i="97"/>
  <c r="R10" i="97"/>
  <c r="R9" i="97"/>
  <c r="R8" i="97"/>
  <c r="R7" i="97"/>
  <c r="R23" i="97" s="1"/>
  <c r="N2" i="97"/>
  <c r="H2" i="97"/>
  <c r="O46" i="96"/>
  <c r="K46" i="96"/>
  <c r="M46" i="96" s="1"/>
  <c r="N46" i="96" s="1"/>
  <c r="M45" i="96"/>
  <c r="K45" i="96"/>
  <c r="O44" i="96"/>
  <c r="K44" i="96"/>
  <c r="M44" i="96" s="1"/>
  <c r="N44" i="96" s="1"/>
  <c r="M43" i="96"/>
  <c r="K43" i="96"/>
  <c r="K42" i="96"/>
  <c r="M42" i="96" s="1"/>
  <c r="O41" i="96"/>
  <c r="M41" i="96"/>
  <c r="N41" i="96" s="1"/>
  <c r="K41" i="96"/>
  <c r="K40" i="96"/>
  <c r="M40" i="96" s="1"/>
  <c r="M39" i="96"/>
  <c r="N39" i="96" s="1"/>
  <c r="K39" i="96"/>
  <c r="O38" i="96"/>
  <c r="K38" i="96"/>
  <c r="M38" i="96" s="1"/>
  <c r="N38" i="96" s="1"/>
  <c r="J38" i="96"/>
  <c r="K37" i="96"/>
  <c r="M37" i="96" s="1"/>
  <c r="J37" i="96"/>
  <c r="M36" i="96"/>
  <c r="J36" i="96"/>
  <c r="K36" i="96" s="1"/>
  <c r="M32" i="96"/>
  <c r="K32" i="96"/>
  <c r="K31" i="96"/>
  <c r="M31" i="96" s="1"/>
  <c r="O30" i="96"/>
  <c r="M30" i="96"/>
  <c r="N30" i="96" s="1"/>
  <c r="J30" i="96"/>
  <c r="K30" i="96" s="1"/>
  <c r="K29" i="96"/>
  <c r="M29" i="96" s="1"/>
  <c r="K28" i="96"/>
  <c r="M28" i="96" s="1"/>
  <c r="O28" i="96" s="1"/>
  <c r="J28" i="96"/>
  <c r="N27" i="96"/>
  <c r="M27" i="96"/>
  <c r="O27" i="96" s="1"/>
  <c r="K27" i="96"/>
  <c r="M26" i="96"/>
  <c r="K26" i="96"/>
  <c r="M25" i="96"/>
  <c r="K25" i="96"/>
  <c r="O24" i="96"/>
  <c r="M24" i="96"/>
  <c r="N24" i="96" s="1"/>
  <c r="K24" i="96"/>
  <c r="N23" i="96"/>
  <c r="M23" i="96"/>
  <c r="O23" i="96" s="1"/>
  <c r="K23" i="96"/>
  <c r="O22" i="96"/>
  <c r="M22" i="96"/>
  <c r="N22" i="96" s="1"/>
  <c r="K22" i="96"/>
  <c r="N21" i="96"/>
  <c r="M21" i="96"/>
  <c r="O21" i="96" s="1"/>
  <c r="K21" i="96"/>
  <c r="M20" i="96"/>
  <c r="N20" i="96" s="1"/>
  <c r="K20" i="96"/>
  <c r="N19" i="96"/>
  <c r="M19" i="96"/>
  <c r="O19" i="96" s="1"/>
  <c r="K19" i="96"/>
  <c r="M18" i="96"/>
  <c r="K18" i="96"/>
  <c r="M17" i="96"/>
  <c r="K17" i="96"/>
  <c r="O16" i="96"/>
  <c r="M16" i="96"/>
  <c r="N16" i="96" s="1"/>
  <c r="K16" i="96"/>
  <c r="N15" i="96"/>
  <c r="M15" i="96"/>
  <c r="O15" i="96" s="1"/>
  <c r="K15" i="96"/>
  <c r="O14" i="96"/>
  <c r="M14" i="96"/>
  <c r="N14" i="96" s="1"/>
  <c r="K14" i="96"/>
  <c r="L12" i="96" s="1"/>
  <c r="K12" i="96"/>
  <c r="I12" i="96"/>
  <c r="H12" i="96"/>
  <c r="G12" i="96"/>
  <c r="E12" i="96"/>
  <c r="E9" i="96"/>
  <c r="O7" i="96"/>
  <c r="H7" i="96"/>
  <c r="D7" i="96"/>
  <c r="H5" i="96"/>
  <c r="D5" i="96"/>
  <c r="H3" i="96"/>
  <c r="D3" i="96"/>
  <c r="O37" i="95"/>
  <c r="K37" i="95"/>
  <c r="M37" i="95" s="1"/>
  <c r="N37" i="95" s="1"/>
  <c r="M36" i="95"/>
  <c r="K36" i="95"/>
  <c r="O35" i="95"/>
  <c r="K35" i="95"/>
  <c r="M35" i="95" s="1"/>
  <c r="N35" i="95" s="1"/>
  <c r="M34" i="95"/>
  <c r="K34" i="95"/>
  <c r="K33" i="95"/>
  <c r="M33" i="95" s="1"/>
  <c r="O32" i="95"/>
  <c r="M32" i="95"/>
  <c r="N32" i="95" s="1"/>
  <c r="K32" i="95"/>
  <c r="K31" i="95"/>
  <c r="M31" i="95" s="1"/>
  <c r="M30" i="95"/>
  <c r="N30" i="95" s="1"/>
  <c r="K30" i="95"/>
  <c r="O29" i="95"/>
  <c r="K29" i="95"/>
  <c r="M29" i="95" s="1"/>
  <c r="N29" i="95" s="1"/>
  <c r="J29" i="95"/>
  <c r="K28" i="95"/>
  <c r="M28" i="95" s="1"/>
  <c r="J28" i="95"/>
  <c r="M27" i="95"/>
  <c r="J27" i="95"/>
  <c r="K27" i="95" s="1"/>
  <c r="M23" i="95"/>
  <c r="K23" i="95"/>
  <c r="K22" i="95"/>
  <c r="M22" i="95" s="1"/>
  <c r="O21" i="95"/>
  <c r="M21" i="95"/>
  <c r="N21" i="95" s="1"/>
  <c r="K21" i="95"/>
  <c r="K20" i="95"/>
  <c r="M20" i="95" s="1"/>
  <c r="M19" i="95"/>
  <c r="N19" i="95" s="1"/>
  <c r="K19" i="95"/>
  <c r="O18" i="95"/>
  <c r="K18" i="95"/>
  <c r="M18" i="95" s="1"/>
  <c r="N18" i="95" s="1"/>
  <c r="O17" i="95"/>
  <c r="M17" i="95"/>
  <c r="N17" i="95" s="1"/>
  <c r="K17" i="95"/>
  <c r="K16" i="95"/>
  <c r="M16" i="95" s="1"/>
  <c r="N16" i="95" s="1"/>
  <c r="O15" i="95"/>
  <c r="M15" i="95"/>
  <c r="N15" i="95" s="1"/>
  <c r="K15" i="95"/>
  <c r="K14" i="95"/>
  <c r="I12" i="95"/>
  <c r="G12" i="95"/>
  <c r="E12" i="95"/>
  <c r="E9" i="95"/>
  <c r="O7" i="95"/>
  <c r="H7" i="95"/>
  <c r="D7" i="95"/>
  <c r="H5" i="95"/>
  <c r="D5" i="95"/>
  <c r="H3" i="95"/>
  <c r="D3" i="95"/>
  <c r="K62" i="94"/>
  <c r="J62" i="94"/>
  <c r="L62" i="94" s="1"/>
  <c r="H62" i="94"/>
  <c r="L61" i="94"/>
  <c r="J61" i="94"/>
  <c r="K61" i="94" s="1"/>
  <c r="H61" i="94"/>
  <c r="K60" i="94"/>
  <c r="J60" i="94"/>
  <c r="L60" i="94" s="1"/>
  <c r="H60" i="94"/>
  <c r="H59" i="94"/>
  <c r="J59" i="94" s="1"/>
  <c r="K58" i="94"/>
  <c r="J58" i="94"/>
  <c r="L58" i="94" s="1"/>
  <c r="H58" i="94"/>
  <c r="J57" i="94"/>
  <c r="H57" i="94"/>
  <c r="J56" i="94"/>
  <c r="H56" i="94"/>
  <c r="L55" i="94"/>
  <c r="J55" i="94"/>
  <c r="K55" i="94" s="1"/>
  <c r="H55" i="94"/>
  <c r="K54" i="94"/>
  <c r="J54" i="94"/>
  <c r="L54" i="94" s="1"/>
  <c r="H54" i="94"/>
  <c r="L53" i="94"/>
  <c r="J53" i="94"/>
  <c r="K53" i="94" s="1"/>
  <c r="H53" i="94"/>
  <c r="J50" i="94"/>
  <c r="K50" i="94" s="1"/>
  <c r="L50" i="94" s="1"/>
  <c r="H50" i="94"/>
  <c r="L49" i="94"/>
  <c r="K49" i="94"/>
  <c r="H49" i="94"/>
  <c r="J49" i="94" s="1"/>
  <c r="J48" i="94"/>
  <c r="K48" i="94" s="1"/>
  <c r="L48" i="94" s="1"/>
  <c r="H48" i="94"/>
  <c r="K47" i="94"/>
  <c r="L47" i="94" s="1"/>
  <c r="H47" i="94"/>
  <c r="J47" i="94" s="1"/>
  <c r="K46" i="94"/>
  <c r="L46" i="94" s="1"/>
  <c r="J46" i="94"/>
  <c r="H46" i="94"/>
  <c r="H45" i="94"/>
  <c r="J45" i="94" s="1"/>
  <c r="K45" i="94" s="1"/>
  <c r="L45" i="94" s="1"/>
  <c r="K44" i="94"/>
  <c r="L44" i="94" s="1"/>
  <c r="J44" i="94"/>
  <c r="H44" i="94"/>
  <c r="H43" i="94"/>
  <c r="J43" i="94" s="1"/>
  <c r="K43" i="94" s="1"/>
  <c r="L43" i="94" s="1"/>
  <c r="J42" i="94"/>
  <c r="K42" i="94" s="1"/>
  <c r="L42" i="94" s="1"/>
  <c r="H42" i="94"/>
  <c r="L41" i="94"/>
  <c r="K41" i="94"/>
  <c r="H41" i="94"/>
  <c r="J41" i="94" s="1"/>
  <c r="J40" i="94"/>
  <c r="K40" i="94" s="1"/>
  <c r="L40" i="94" s="1"/>
  <c r="H40" i="94"/>
  <c r="K39" i="94"/>
  <c r="L39" i="94" s="1"/>
  <c r="H39" i="94"/>
  <c r="J39" i="94" s="1"/>
  <c r="K37" i="94"/>
  <c r="L37" i="94" s="1"/>
  <c r="J37" i="94"/>
  <c r="H37" i="94"/>
  <c r="L36" i="94"/>
  <c r="H36" i="94"/>
  <c r="J36" i="94" s="1"/>
  <c r="K36" i="94" s="1"/>
  <c r="K35" i="94"/>
  <c r="L35" i="94" s="1"/>
  <c r="J35" i="94"/>
  <c r="H35" i="94"/>
  <c r="H33" i="94"/>
  <c r="J33" i="94" s="1"/>
  <c r="K33" i="94" s="1"/>
  <c r="L33" i="94" s="1"/>
  <c r="G33" i="94"/>
  <c r="K32" i="94"/>
  <c r="L32" i="94" s="1"/>
  <c r="H32" i="94"/>
  <c r="J32" i="94" s="1"/>
  <c r="G32" i="94"/>
  <c r="K31" i="94"/>
  <c r="L31" i="94" s="1"/>
  <c r="J31" i="94"/>
  <c r="H30" i="94"/>
  <c r="J30" i="94" s="1"/>
  <c r="K30" i="94" s="1"/>
  <c r="L30" i="94" s="1"/>
  <c r="L29" i="94"/>
  <c r="J29" i="94"/>
  <c r="K29" i="94" s="1"/>
  <c r="H29" i="94"/>
  <c r="H28" i="94"/>
  <c r="J28" i="94" s="1"/>
  <c r="K28" i="94" s="1"/>
  <c r="L28" i="94" s="1"/>
  <c r="H27" i="94"/>
  <c r="J27" i="94" s="1"/>
  <c r="K27" i="94" s="1"/>
  <c r="L27" i="94" s="1"/>
  <c r="K26" i="94"/>
  <c r="L26" i="94" s="1"/>
  <c r="H26" i="94"/>
  <c r="J26" i="94" s="1"/>
  <c r="H25" i="94"/>
  <c r="J25" i="94" s="1"/>
  <c r="K25" i="94" s="1"/>
  <c r="L25" i="94" s="1"/>
  <c r="K24" i="94"/>
  <c r="L24" i="94" s="1"/>
  <c r="J23" i="94"/>
  <c r="K23" i="94" s="1"/>
  <c r="L23" i="94" s="1"/>
  <c r="G23" i="94"/>
  <c r="H23" i="94" s="1"/>
  <c r="L22" i="94"/>
  <c r="J22" i="94"/>
  <c r="K22" i="94" s="1"/>
  <c r="G22" i="94"/>
  <c r="H22" i="94" s="1"/>
  <c r="H21" i="94"/>
  <c r="J21" i="94" s="1"/>
  <c r="K21" i="94" s="1"/>
  <c r="L21" i="94" s="1"/>
  <c r="G21" i="94"/>
  <c r="L20" i="94"/>
  <c r="J20" i="94"/>
  <c r="K20" i="94" s="1"/>
  <c r="H20" i="94"/>
  <c r="G20" i="94"/>
  <c r="L19" i="94"/>
  <c r="H19" i="94"/>
  <c r="J19" i="94" s="1"/>
  <c r="K19" i="94" s="1"/>
  <c r="G19" i="94"/>
  <c r="L18" i="94"/>
  <c r="K18" i="94"/>
  <c r="H18" i="94"/>
  <c r="J18" i="94" s="1"/>
  <c r="G18" i="94"/>
  <c r="G17" i="94"/>
  <c r="H17" i="94" s="1"/>
  <c r="K16" i="94"/>
  <c r="L16" i="94" s="1"/>
  <c r="J16" i="94"/>
  <c r="G16" i="94"/>
  <c r="H16" i="94" s="1"/>
  <c r="G15" i="94"/>
  <c r="H15" i="94" s="1"/>
  <c r="D9" i="94"/>
  <c r="L7" i="94"/>
  <c r="G7" i="94"/>
  <c r="C7" i="94"/>
  <c r="G5" i="94"/>
  <c r="C5" i="94"/>
  <c r="G3" i="94"/>
  <c r="C3" i="94"/>
  <c r="J61" i="93"/>
  <c r="H61" i="93"/>
  <c r="J60" i="93"/>
  <c r="H60" i="93"/>
  <c r="L59" i="93"/>
  <c r="J59" i="93"/>
  <c r="K59" i="93" s="1"/>
  <c r="H59" i="93"/>
  <c r="K58" i="93"/>
  <c r="H58" i="93"/>
  <c r="J58" i="93" s="1"/>
  <c r="L58" i="93" s="1"/>
  <c r="L57" i="93"/>
  <c r="J57" i="93"/>
  <c r="K57" i="93" s="1"/>
  <c r="H57" i="93"/>
  <c r="H56" i="93"/>
  <c r="J56" i="93" s="1"/>
  <c r="H55" i="93"/>
  <c r="J55" i="93" s="1"/>
  <c r="K54" i="93"/>
  <c r="J54" i="93"/>
  <c r="L54" i="93" s="1"/>
  <c r="H54" i="93"/>
  <c r="J53" i="93"/>
  <c r="H53" i="93"/>
  <c r="J52" i="93"/>
  <c r="H52" i="93"/>
  <c r="H49" i="93"/>
  <c r="J49" i="93" s="1"/>
  <c r="K49" i="93" s="1"/>
  <c r="L49" i="93" s="1"/>
  <c r="K48" i="93"/>
  <c r="L48" i="93" s="1"/>
  <c r="J48" i="93"/>
  <c r="H48" i="93"/>
  <c r="K47" i="93"/>
  <c r="L47" i="93" s="1"/>
  <c r="H47" i="93"/>
  <c r="J47" i="93" s="1"/>
  <c r="K46" i="93"/>
  <c r="L46" i="93" s="1"/>
  <c r="J46" i="93"/>
  <c r="H46" i="93"/>
  <c r="J45" i="93"/>
  <c r="K45" i="93" s="1"/>
  <c r="L45" i="93" s="1"/>
  <c r="H45" i="93"/>
  <c r="S44" i="93"/>
  <c r="L44" i="93"/>
  <c r="K44" i="93"/>
  <c r="H44" i="93"/>
  <c r="J44" i="93" s="1"/>
  <c r="S43" i="93"/>
  <c r="K43" i="93"/>
  <c r="L43" i="93" s="1"/>
  <c r="H43" i="93"/>
  <c r="J43" i="93" s="1"/>
  <c r="S42" i="93"/>
  <c r="K42" i="93"/>
  <c r="L42" i="93" s="1"/>
  <c r="J42" i="93"/>
  <c r="H42" i="93"/>
  <c r="S41" i="93"/>
  <c r="J41" i="93"/>
  <c r="K41" i="93" s="1"/>
  <c r="L41" i="93" s="1"/>
  <c r="H41" i="93"/>
  <c r="S40" i="93"/>
  <c r="L40" i="93"/>
  <c r="K40" i="93"/>
  <c r="J40" i="93"/>
  <c r="H40" i="93"/>
  <c r="S39" i="93"/>
  <c r="H39" i="93"/>
  <c r="J39" i="93" s="1"/>
  <c r="K39" i="93" s="1"/>
  <c r="L39" i="93" s="1"/>
  <c r="S38" i="93"/>
  <c r="L38" i="93"/>
  <c r="J38" i="93"/>
  <c r="K38" i="93" s="1"/>
  <c r="H38" i="93"/>
  <c r="J36" i="93"/>
  <c r="K36" i="93" s="1"/>
  <c r="L36" i="93" s="1"/>
  <c r="H36" i="93"/>
  <c r="J35" i="93"/>
  <c r="K35" i="93" s="1"/>
  <c r="L35" i="93" s="1"/>
  <c r="H35" i="93"/>
  <c r="K34" i="93"/>
  <c r="L34" i="93" s="1"/>
  <c r="J34" i="93"/>
  <c r="H34" i="93"/>
  <c r="L32" i="93"/>
  <c r="K32" i="93"/>
  <c r="J32" i="93"/>
  <c r="H32" i="93"/>
  <c r="G32" i="93"/>
  <c r="G31" i="93"/>
  <c r="H31" i="93" s="1"/>
  <c r="J31" i="93" s="1"/>
  <c r="K31" i="93" s="1"/>
  <c r="L31" i="93" s="1"/>
  <c r="L30" i="93"/>
  <c r="K30" i="93"/>
  <c r="J30" i="93"/>
  <c r="K29" i="93"/>
  <c r="L29" i="93" s="1"/>
  <c r="H29" i="93"/>
  <c r="J29" i="93" s="1"/>
  <c r="K28" i="93"/>
  <c r="L28" i="93" s="1"/>
  <c r="J28" i="93"/>
  <c r="H28" i="93"/>
  <c r="H27" i="93"/>
  <c r="J27" i="93" s="1"/>
  <c r="K27" i="93" s="1"/>
  <c r="L27" i="93" s="1"/>
  <c r="J26" i="93"/>
  <c r="K26" i="93" s="1"/>
  <c r="L26" i="93" s="1"/>
  <c r="H26" i="93"/>
  <c r="L25" i="93"/>
  <c r="K25" i="93"/>
  <c r="H25" i="93"/>
  <c r="J25" i="93" s="1"/>
  <c r="J24" i="93"/>
  <c r="K24" i="93" s="1"/>
  <c r="L24" i="93" s="1"/>
  <c r="H24" i="93"/>
  <c r="L23" i="93"/>
  <c r="K23" i="93"/>
  <c r="J23" i="93"/>
  <c r="H22" i="93"/>
  <c r="J22" i="93" s="1"/>
  <c r="K22" i="93" s="1"/>
  <c r="L22" i="93" s="1"/>
  <c r="G22" i="93"/>
  <c r="L21" i="93"/>
  <c r="K21" i="93"/>
  <c r="H21" i="93"/>
  <c r="J21" i="93" s="1"/>
  <c r="G21" i="93"/>
  <c r="H20" i="93"/>
  <c r="J20" i="93" s="1"/>
  <c r="K20" i="93" s="1"/>
  <c r="L20" i="93" s="1"/>
  <c r="L19" i="93"/>
  <c r="J19" i="93"/>
  <c r="K19" i="93" s="1"/>
  <c r="H19" i="93"/>
  <c r="H18" i="93"/>
  <c r="J18" i="93" s="1"/>
  <c r="K18" i="93" s="1"/>
  <c r="L18" i="93" s="1"/>
  <c r="H17" i="93"/>
  <c r="J17" i="93" s="1"/>
  <c r="K17" i="93" s="1"/>
  <c r="L17" i="93" s="1"/>
  <c r="L16" i="93"/>
  <c r="K16" i="93"/>
  <c r="H16" i="93"/>
  <c r="J16" i="93" s="1"/>
  <c r="J15" i="93"/>
  <c r="G15" i="93"/>
  <c r="H15" i="93" s="1"/>
  <c r="D9" i="93"/>
  <c r="L7" i="93"/>
  <c r="G7" i="93"/>
  <c r="C7" i="93"/>
  <c r="G5" i="93"/>
  <c r="C5" i="93"/>
  <c r="G3" i="93"/>
  <c r="C3" i="93"/>
  <c r="J55" i="92"/>
  <c r="G55" i="92"/>
  <c r="I55" i="92" s="1"/>
  <c r="K55" i="92" s="1"/>
  <c r="K54" i="92"/>
  <c r="J54" i="92"/>
  <c r="I54" i="92"/>
  <c r="G54" i="92"/>
  <c r="G53" i="92"/>
  <c r="I53" i="92" s="1"/>
  <c r="K52" i="92"/>
  <c r="J52" i="92"/>
  <c r="I52" i="92"/>
  <c r="G52" i="92"/>
  <c r="F51" i="92"/>
  <c r="G51" i="92" s="1"/>
  <c r="I51" i="92" s="1"/>
  <c r="J51" i="92" s="1"/>
  <c r="K50" i="92"/>
  <c r="J50" i="92"/>
  <c r="G50" i="92"/>
  <c r="I50" i="92" s="1"/>
  <c r="F50" i="92"/>
  <c r="J49" i="92"/>
  <c r="F49" i="92"/>
  <c r="G49" i="92" s="1"/>
  <c r="I49" i="92" s="1"/>
  <c r="K49" i="92" s="1"/>
  <c r="J48" i="92"/>
  <c r="I48" i="92"/>
  <c r="K48" i="92" s="1"/>
  <c r="F48" i="92"/>
  <c r="G48" i="92" s="1"/>
  <c r="J47" i="92"/>
  <c r="F47" i="92"/>
  <c r="G47" i="92" s="1"/>
  <c r="I47" i="92" s="1"/>
  <c r="K47" i="92" s="1"/>
  <c r="K46" i="92"/>
  <c r="I46" i="92"/>
  <c r="G46" i="92"/>
  <c r="F46" i="92"/>
  <c r="I45" i="92"/>
  <c r="G45" i="92"/>
  <c r="F45" i="92"/>
  <c r="K44" i="92"/>
  <c r="J44" i="92"/>
  <c r="I44" i="92"/>
  <c r="G44" i="92"/>
  <c r="F44" i="92"/>
  <c r="K41" i="92"/>
  <c r="J41" i="92"/>
  <c r="G41" i="92"/>
  <c r="I41" i="92" s="1"/>
  <c r="I40" i="92"/>
  <c r="F40" i="92"/>
  <c r="G40" i="92" s="1"/>
  <c r="K39" i="92"/>
  <c r="I39" i="92"/>
  <c r="J39" i="92" s="1"/>
  <c r="G39" i="92"/>
  <c r="F39" i="92"/>
  <c r="J38" i="92"/>
  <c r="F38" i="92"/>
  <c r="G38" i="92" s="1"/>
  <c r="I38" i="92" s="1"/>
  <c r="K38" i="92" s="1"/>
  <c r="K37" i="92"/>
  <c r="J37" i="92"/>
  <c r="I37" i="92"/>
  <c r="G37" i="92"/>
  <c r="G36" i="92"/>
  <c r="I36" i="92" s="1"/>
  <c r="F36" i="92"/>
  <c r="G35" i="92"/>
  <c r="I35" i="92" s="1"/>
  <c r="F35" i="92"/>
  <c r="J34" i="92"/>
  <c r="I34" i="92"/>
  <c r="K34" i="92" s="1"/>
  <c r="G34" i="92"/>
  <c r="I33" i="92"/>
  <c r="G33" i="92"/>
  <c r="J32" i="92"/>
  <c r="I32" i="92"/>
  <c r="K32" i="92" s="1"/>
  <c r="G32" i="92"/>
  <c r="F31" i="92"/>
  <c r="G31" i="92" s="1"/>
  <c r="I31" i="92" s="1"/>
  <c r="K30" i="92"/>
  <c r="J30" i="92"/>
  <c r="I30" i="92"/>
  <c r="G30" i="92"/>
  <c r="F30" i="92"/>
  <c r="K29" i="92"/>
  <c r="G29" i="92"/>
  <c r="I29" i="92" s="1"/>
  <c r="J29" i="92" s="1"/>
  <c r="F29" i="92"/>
  <c r="G28" i="92"/>
  <c r="I28" i="92" s="1"/>
  <c r="F28" i="92"/>
  <c r="J27" i="92"/>
  <c r="I27" i="92"/>
  <c r="K27" i="92" s="1"/>
  <c r="G27" i="92"/>
  <c r="F27" i="92"/>
  <c r="F26" i="92"/>
  <c r="G26" i="92" s="1"/>
  <c r="I26" i="92" s="1"/>
  <c r="K26" i="92" s="1"/>
  <c r="F25" i="92"/>
  <c r="G25" i="92" s="1"/>
  <c r="I25" i="92" s="1"/>
  <c r="I24" i="92"/>
  <c r="G24" i="92"/>
  <c r="F24" i="92"/>
  <c r="I23" i="92"/>
  <c r="F23" i="92"/>
  <c r="G23" i="92" s="1"/>
  <c r="K22" i="92"/>
  <c r="J22" i="92"/>
  <c r="I22" i="92"/>
  <c r="G22" i="92"/>
  <c r="F22" i="92"/>
  <c r="K21" i="92"/>
  <c r="G21" i="92"/>
  <c r="I21" i="92" s="1"/>
  <c r="J21" i="92" s="1"/>
  <c r="F21" i="92"/>
  <c r="G20" i="92"/>
  <c r="I20" i="92" s="1"/>
  <c r="F20" i="92"/>
  <c r="J19" i="92"/>
  <c r="I19" i="92"/>
  <c r="K19" i="92" s="1"/>
  <c r="G19" i="92"/>
  <c r="F19" i="92"/>
  <c r="J18" i="92"/>
  <c r="G18" i="92"/>
  <c r="I18" i="92" s="1"/>
  <c r="K18" i="92" s="1"/>
  <c r="J17" i="92"/>
  <c r="I17" i="92"/>
  <c r="G16" i="92"/>
  <c r="I16" i="92" s="1"/>
  <c r="F16" i="92"/>
  <c r="J15" i="92"/>
  <c r="I15" i="92"/>
  <c r="K15" i="92" s="1"/>
  <c r="G15" i="92"/>
  <c r="F15" i="92"/>
  <c r="F14" i="92"/>
  <c r="G14" i="92" s="1"/>
  <c r="D10" i="92"/>
  <c r="K7" i="92"/>
  <c r="F7" i="92"/>
  <c r="C7" i="92"/>
  <c r="F5" i="92"/>
  <c r="C5" i="92"/>
  <c r="F3" i="92"/>
  <c r="C3" i="92"/>
  <c r="K66" i="91"/>
  <c r="J66" i="91"/>
  <c r="C73" i="91" s="1"/>
  <c r="I66" i="91"/>
  <c r="G66" i="91"/>
  <c r="G65" i="91"/>
  <c r="I65" i="91" s="1"/>
  <c r="K65" i="91" s="1"/>
  <c r="K64" i="91"/>
  <c r="J64" i="91"/>
  <c r="I64" i="91"/>
  <c r="G64" i="91"/>
  <c r="J63" i="91"/>
  <c r="G63" i="91"/>
  <c r="I63" i="91" s="1"/>
  <c r="K63" i="91" s="1"/>
  <c r="K62" i="91"/>
  <c r="J62" i="91"/>
  <c r="I62" i="91"/>
  <c r="G62" i="91"/>
  <c r="J61" i="91"/>
  <c r="G61" i="91"/>
  <c r="I61" i="91" s="1"/>
  <c r="K61" i="91" s="1"/>
  <c r="K60" i="91"/>
  <c r="J60" i="91"/>
  <c r="I60" i="91"/>
  <c r="G60" i="91"/>
  <c r="G59" i="91"/>
  <c r="I59" i="91" s="1"/>
  <c r="K58" i="91"/>
  <c r="J58" i="91"/>
  <c r="I58" i="91"/>
  <c r="G58" i="91"/>
  <c r="F58" i="91"/>
  <c r="G57" i="91"/>
  <c r="F57" i="91"/>
  <c r="K54" i="91"/>
  <c r="J54" i="91"/>
  <c r="O54" i="91" s="1"/>
  <c r="I54" i="91"/>
  <c r="G54" i="91"/>
  <c r="K53" i="91"/>
  <c r="G53" i="91"/>
  <c r="I53" i="91" s="1"/>
  <c r="J53" i="91" s="1"/>
  <c r="O53" i="91" s="1"/>
  <c r="G52" i="91"/>
  <c r="I52" i="91" s="1"/>
  <c r="J51" i="91"/>
  <c r="O51" i="91" s="1"/>
  <c r="I51" i="91"/>
  <c r="K51" i="91" s="1"/>
  <c r="G51" i="91"/>
  <c r="J50" i="91"/>
  <c r="O50" i="91" s="1"/>
  <c r="G50" i="91"/>
  <c r="I50" i="91" s="1"/>
  <c r="K50" i="91" s="1"/>
  <c r="P49" i="91"/>
  <c r="K49" i="91"/>
  <c r="J49" i="91"/>
  <c r="I49" i="91"/>
  <c r="G49" i="91"/>
  <c r="I48" i="91"/>
  <c r="G48" i="91"/>
  <c r="I47" i="91"/>
  <c r="G47" i="91"/>
  <c r="K46" i="91"/>
  <c r="J46" i="91"/>
  <c r="P46" i="91" s="1"/>
  <c r="I46" i="91"/>
  <c r="G46" i="91"/>
  <c r="K45" i="91"/>
  <c r="G45" i="91"/>
  <c r="I45" i="91" s="1"/>
  <c r="J45" i="91" s="1"/>
  <c r="P45" i="91" s="1"/>
  <c r="G44" i="91"/>
  <c r="I44" i="91" s="1"/>
  <c r="J43" i="91"/>
  <c r="P43" i="91" s="1"/>
  <c r="I43" i="91"/>
  <c r="K43" i="91" s="1"/>
  <c r="G43" i="91"/>
  <c r="J42" i="91"/>
  <c r="P42" i="91" s="1"/>
  <c r="G42" i="91"/>
  <c r="I42" i="91" s="1"/>
  <c r="K42" i="91" s="1"/>
  <c r="P41" i="91"/>
  <c r="K41" i="91"/>
  <c r="J41" i="91"/>
  <c r="I41" i="91"/>
  <c r="G41" i="91"/>
  <c r="I40" i="91"/>
  <c r="G40" i="91"/>
  <c r="I39" i="91"/>
  <c r="G39" i="91"/>
  <c r="K38" i="91"/>
  <c r="J38" i="91"/>
  <c r="N38" i="91" s="1"/>
  <c r="I38" i="91"/>
  <c r="G38" i="91"/>
  <c r="K37" i="91"/>
  <c r="G37" i="91"/>
  <c r="I37" i="91" s="1"/>
  <c r="J37" i="91" s="1"/>
  <c r="N37" i="91" s="1"/>
  <c r="G36" i="91"/>
  <c r="I36" i="91" s="1"/>
  <c r="F36" i="91"/>
  <c r="K35" i="91"/>
  <c r="J35" i="91"/>
  <c r="N35" i="91" s="1"/>
  <c r="I35" i="91"/>
  <c r="G35" i="91"/>
  <c r="K34" i="91"/>
  <c r="G34" i="91"/>
  <c r="I34" i="91" s="1"/>
  <c r="J34" i="91" s="1"/>
  <c r="N34" i="91" s="1"/>
  <c r="G33" i="91"/>
  <c r="I33" i="91" s="1"/>
  <c r="J32" i="91"/>
  <c r="N32" i="91" s="1"/>
  <c r="I32" i="91"/>
  <c r="K32" i="91" s="1"/>
  <c r="G32" i="91"/>
  <c r="J31" i="91"/>
  <c r="N31" i="91" s="1"/>
  <c r="G31" i="91"/>
  <c r="I31" i="91" s="1"/>
  <c r="K31" i="91" s="1"/>
  <c r="N30" i="91"/>
  <c r="K30" i="91"/>
  <c r="J30" i="91"/>
  <c r="I30" i="91"/>
  <c r="G30" i="91"/>
  <c r="I29" i="91"/>
  <c r="G29" i="91"/>
  <c r="I28" i="91"/>
  <c r="F28" i="91"/>
  <c r="G28" i="91" s="1"/>
  <c r="F27" i="91"/>
  <c r="G27" i="91" s="1"/>
  <c r="I27" i="91" s="1"/>
  <c r="J26" i="91"/>
  <c r="N26" i="91" s="1"/>
  <c r="I26" i="91"/>
  <c r="K26" i="91" s="1"/>
  <c r="G26" i="91"/>
  <c r="F26" i="91"/>
  <c r="K25" i="91"/>
  <c r="G25" i="91"/>
  <c r="I25" i="91" s="1"/>
  <c r="J25" i="91" s="1"/>
  <c r="N25" i="91" s="1"/>
  <c r="F25" i="91"/>
  <c r="I24" i="91"/>
  <c r="G24" i="91"/>
  <c r="K23" i="91"/>
  <c r="J23" i="91"/>
  <c r="M23" i="91" s="1"/>
  <c r="I23" i="91"/>
  <c r="G23" i="91"/>
  <c r="K22" i="91"/>
  <c r="G22" i="91"/>
  <c r="I22" i="91" s="1"/>
  <c r="J22" i="91" s="1"/>
  <c r="M22" i="91" s="1"/>
  <c r="G21" i="91"/>
  <c r="I21" i="91" s="1"/>
  <c r="J20" i="91"/>
  <c r="M20" i="91" s="1"/>
  <c r="I20" i="91"/>
  <c r="K20" i="91" s="1"/>
  <c r="G20" i="91"/>
  <c r="J19" i="91"/>
  <c r="M19" i="91" s="1"/>
  <c r="F19" i="91"/>
  <c r="G19" i="91" s="1"/>
  <c r="I19" i="91" s="1"/>
  <c r="K19" i="91" s="1"/>
  <c r="G18" i="91"/>
  <c r="I18" i="91" s="1"/>
  <c r="F18" i="91"/>
  <c r="K17" i="91"/>
  <c r="J17" i="91"/>
  <c r="M17" i="91" s="1"/>
  <c r="I17" i="91"/>
  <c r="G17" i="91"/>
  <c r="K16" i="91"/>
  <c r="G16" i="91"/>
  <c r="I16" i="91" s="1"/>
  <c r="J16" i="91" s="1"/>
  <c r="M16" i="91" s="1"/>
  <c r="G15" i="91"/>
  <c r="I15" i="91" s="1"/>
  <c r="F15" i="91"/>
  <c r="K14" i="91"/>
  <c r="I14" i="91"/>
  <c r="J14" i="91" s="1"/>
  <c r="M14" i="91" s="1"/>
  <c r="G14" i="91"/>
  <c r="F14" i="91"/>
  <c r="I13" i="91"/>
  <c r="F13" i="91"/>
  <c r="G13" i="91" s="1"/>
  <c r="D9" i="91"/>
  <c r="K7" i="91"/>
  <c r="F7" i="91"/>
  <c r="C7" i="91"/>
  <c r="F5" i="91"/>
  <c r="C5" i="91"/>
  <c r="F3" i="91"/>
  <c r="C3" i="91"/>
  <c r="K66" i="90"/>
  <c r="J66" i="90"/>
  <c r="I66" i="90"/>
  <c r="G66" i="90"/>
  <c r="K65" i="90"/>
  <c r="G65" i="90"/>
  <c r="I65" i="90" s="1"/>
  <c r="J65" i="90" s="1"/>
  <c r="K64" i="90"/>
  <c r="J64" i="90"/>
  <c r="I64" i="90"/>
  <c r="G64" i="90"/>
  <c r="K63" i="90"/>
  <c r="G63" i="90"/>
  <c r="I63" i="90" s="1"/>
  <c r="J63" i="90" s="1"/>
  <c r="K62" i="90"/>
  <c r="J62" i="90"/>
  <c r="I62" i="90"/>
  <c r="G62" i="90"/>
  <c r="G61" i="90"/>
  <c r="I61" i="90" s="1"/>
  <c r="J61" i="90" s="1"/>
  <c r="K60" i="90"/>
  <c r="J60" i="90"/>
  <c r="I60" i="90"/>
  <c r="G60" i="90"/>
  <c r="K59" i="90"/>
  <c r="G59" i="90"/>
  <c r="I59" i="90" s="1"/>
  <c r="J59" i="90" s="1"/>
  <c r="F59" i="90"/>
  <c r="G58" i="90"/>
  <c r="F58" i="90"/>
  <c r="J57" i="90"/>
  <c r="G57" i="90"/>
  <c r="I57" i="90" s="1"/>
  <c r="F57" i="90"/>
  <c r="K54" i="90"/>
  <c r="J54" i="90"/>
  <c r="I54" i="90"/>
  <c r="G54" i="90"/>
  <c r="K53" i="90"/>
  <c r="G53" i="90"/>
  <c r="I53" i="90" s="1"/>
  <c r="J53" i="90" s="1"/>
  <c r="K52" i="90"/>
  <c r="J52" i="90"/>
  <c r="I52" i="90"/>
  <c r="G52" i="90"/>
  <c r="K51" i="90"/>
  <c r="G51" i="90"/>
  <c r="I51" i="90" s="1"/>
  <c r="J51" i="90" s="1"/>
  <c r="K50" i="90"/>
  <c r="J50" i="90"/>
  <c r="I50" i="90"/>
  <c r="G50" i="90"/>
  <c r="K49" i="90"/>
  <c r="G49" i="90"/>
  <c r="I49" i="90" s="1"/>
  <c r="J49" i="90" s="1"/>
  <c r="K48" i="90"/>
  <c r="J48" i="90"/>
  <c r="I48" i="90"/>
  <c r="G48" i="90"/>
  <c r="K47" i="90"/>
  <c r="G47" i="90"/>
  <c r="I47" i="90" s="1"/>
  <c r="J47" i="90" s="1"/>
  <c r="K46" i="90"/>
  <c r="J46" i="90"/>
  <c r="I46" i="90"/>
  <c r="G46" i="90"/>
  <c r="K45" i="90"/>
  <c r="G45" i="90"/>
  <c r="I45" i="90" s="1"/>
  <c r="J45" i="90" s="1"/>
  <c r="K44" i="90"/>
  <c r="J44" i="90"/>
  <c r="I44" i="90"/>
  <c r="G44" i="90"/>
  <c r="K43" i="90"/>
  <c r="G43" i="90"/>
  <c r="I43" i="90" s="1"/>
  <c r="J43" i="90" s="1"/>
  <c r="K42" i="90"/>
  <c r="J42" i="90"/>
  <c r="I42" i="90"/>
  <c r="G42" i="90"/>
  <c r="K41" i="90"/>
  <c r="G41" i="90"/>
  <c r="I41" i="90" s="1"/>
  <c r="J41" i="90" s="1"/>
  <c r="K40" i="90"/>
  <c r="J40" i="90"/>
  <c r="I40" i="90"/>
  <c r="G40" i="90"/>
  <c r="K39" i="90"/>
  <c r="G39" i="90"/>
  <c r="I39" i="90" s="1"/>
  <c r="J39" i="90" s="1"/>
  <c r="K38" i="90"/>
  <c r="J38" i="90"/>
  <c r="I38" i="90"/>
  <c r="G38" i="90"/>
  <c r="K37" i="90"/>
  <c r="G37" i="90"/>
  <c r="I37" i="90" s="1"/>
  <c r="J37" i="90" s="1"/>
  <c r="F36" i="90"/>
  <c r="G36" i="90" s="1"/>
  <c r="I36" i="90" s="1"/>
  <c r="I35" i="90"/>
  <c r="G35" i="90"/>
  <c r="G34" i="90"/>
  <c r="I34" i="90" s="1"/>
  <c r="I33" i="90"/>
  <c r="G33" i="90"/>
  <c r="G32" i="90"/>
  <c r="I32" i="90" s="1"/>
  <c r="I31" i="90"/>
  <c r="G31" i="90"/>
  <c r="G30" i="90"/>
  <c r="I30" i="90" s="1"/>
  <c r="I29" i="90"/>
  <c r="G29" i="90"/>
  <c r="G28" i="90"/>
  <c r="I28" i="90" s="1"/>
  <c r="I27" i="90"/>
  <c r="G27" i="90"/>
  <c r="G26" i="90"/>
  <c r="I26" i="90" s="1"/>
  <c r="I25" i="90"/>
  <c r="G25" i="90"/>
  <c r="G24" i="90"/>
  <c r="I24" i="90" s="1"/>
  <c r="I23" i="90"/>
  <c r="G23" i="90"/>
  <c r="G22" i="90"/>
  <c r="I22" i="90" s="1"/>
  <c r="I21" i="90"/>
  <c r="G21" i="90"/>
  <c r="G20" i="90"/>
  <c r="I20" i="90" s="1"/>
  <c r="I19" i="90"/>
  <c r="G19" i="90"/>
  <c r="G18" i="90"/>
  <c r="I18" i="90" s="1"/>
  <c r="F18" i="90"/>
  <c r="J17" i="90"/>
  <c r="G17" i="90"/>
  <c r="I17" i="90" s="1"/>
  <c r="K17" i="90" s="1"/>
  <c r="I16" i="90"/>
  <c r="G16" i="90"/>
  <c r="G15" i="90"/>
  <c r="I15" i="90" s="1"/>
  <c r="I14" i="90"/>
  <c r="G14" i="90"/>
  <c r="J13" i="90"/>
  <c r="G13" i="90"/>
  <c r="I13" i="90" s="1"/>
  <c r="I12" i="90" s="1"/>
  <c r="D9" i="90"/>
  <c r="K7" i="90"/>
  <c r="F7" i="90"/>
  <c r="C7" i="90"/>
  <c r="F5" i="90"/>
  <c r="C5" i="90"/>
  <c r="F3" i="90"/>
  <c r="C3" i="90"/>
  <c r="R91" i="89"/>
  <c r="R90" i="89"/>
  <c r="R89" i="89"/>
  <c r="R88" i="89"/>
  <c r="R87" i="89"/>
  <c r="R86" i="89"/>
  <c r="R85" i="89"/>
  <c r="R84" i="89"/>
  <c r="R83" i="89"/>
  <c r="R82" i="89"/>
  <c r="R81" i="89"/>
  <c r="R80" i="89"/>
  <c r="R79" i="89"/>
  <c r="R78" i="89"/>
  <c r="R77" i="89"/>
  <c r="R76" i="89"/>
  <c r="R68" i="89"/>
  <c r="R67" i="89"/>
  <c r="R66" i="89"/>
  <c r="R65" i="89"/>
  <c r="R64" i="89"/>
  <c r="R63" i="89"/>
  <c r="R62" i="89"/>
  <c r="R61" i="89"/>
  <c r="R60" i="89"/>
  <c r="R59" i="89"/>
  <c r="R58" i="89"/>
  <c r="R57" i="89"/>
  <c r="R56" i="89"/>
  <c r="R55" i="89"/>
  <c r="R54" i="89"/>
  <c r="R53" i="89"/>
  <c r="R69" i="89" s="1"/>
  <c r="R70" i="89" s="1"/>
  <c r="R45" i="89"/>
  <c r="R44" i="89"/>
  <c r="R43" i="89"/>
  <c r="R42" i="89"/>
  <c r="R41" i="89"/>
  <c r="R40" i="89"/>
  <c r="R39" i="89"/>
  <c r="R38" i="89"/>
  <c r="R37" i="89"/>
  <c r="R36" i="89"/>
  <c r="R35" i="89"/>
  <c r="R34" i="89"/>
  <c r="R33" i="89"/>
  <c r="R32" i="89"/>
  <c r="R31" i="89"/>
  <c r="R30" i="89"/>
  <c r="R46" i="89" s="1"/>
  <c r="R22" i="89"/>
  <c r="R21" i="89"/>
  <c r="R20" i="89"/>
  <c r="R19" i="89"/>
  <c r="R18" i="89"/>
  <c r="R17" i="89"/>
  <c r="R16" i="89"/>
  <c r="R15" i="89"/>
  <c r="R14" i="89"/>
  <c r="R13" i="89"/>
  <c r="R12" i="89"/>
  <c r="R11" i="89"/>
  <c r="R10" i="89"/>
  <c r="R9" i="89"/>
  <c r="R8" i="89"/>
  <c r="R7" i="89"/>
  <c r="R23" i="89" s="1"/>
  <c r="N2" i="89"/>
  <c r="H2" i="89"/>
  <c r="R91" i="88"/>
  <c r="R90" i="88"/>
  <c r="R89" i="88"/>
  <c r="R88" i="88"/>
  <c r="R87" i="88"/>
  <c r="R86" i="88"/>
  <c r="R85" i="88"/>
  <c r="R84" i="88"/>
  <c r="R83" i="88"/>
  <c r="R82" i="88"/>
  <c r="R81" i="88"/>
  <c r="R80" i="88"/>
  <c r="R79" i="88"/>
  <c r="R78" i="88"/>
  <c r="R77" i="88"/>
  <c r="R76" i="88"/>
  <c r="R68" i="88"/>
  <c r="R67" i="88"/>
  <c r="R66" i="88"/>
  <c r="R65" i="88"/>
  <c r="R64" i="88"/>
  <c r="R63" i="88"/>
  <c r="R62" i="88"/>
  <c r="R61" i="88"/>
  <c r="R60" i="88"/>
  <c r="R59" i="88"/>
  <c r="R58" i="88"/>
  <c r="R57" i="88"/>
  <c r="R56" i="88"/>
  <c r="R55" i="88"/>
  <c r="R54" i="88"/>
  <c r="R53" i="88"/>
  <c r="R69" i="88" s="1"/>
  <c r="R45" i="88"/>
  <c r="R44" i="88"/>
  <c r="R43" i="88"/>
  <c r="R42" i="88"/>
  <c r="R41" i="88"/>
  <c r="R40" i="88"/>
  <c r="R39" i="88"/>
  <c r="R38" i="88"/>
  <c r="R37" i="88"/>
  <c r="R36" i="88"/>
  <c r="R35" i="88"/>
  <c r="R34" i="88"/>
  <c r="R33" i="88"/>
  <c r="R32" i="88"/>
  <c r="R31" i="88"/>
  <c r="R30" i="88"/>
  <c r="R46" i="88" s="1"/>
  <c r="R22" i="88"/>
  <c r="R21" i="88"/>
  <c r="R20" i="88"/>
  <c r="R19" i="88"/>
  <c r="R18" i="88"/>
  <c r="R17" i="88"/>
  <c r="R16" i="88"/>
  <c r="R15" i="88"/>
  <c r="R14" i="88"/>
  <c r="R13" i="88"/>
  <c r="R12" i="88"/>
  <c r="R11" i="88"/>
  <c r="R10" i="88"/>
  <c r="R9" i="88"/>
  <c r="R8" i="88"/>
  <c r="R7" i="88"/>
  <c r="R23" i="88" s="1"/>
  <c r="N2" i="88"/>
  <c r="H2" i="88"/>
  <c r="R45" i="87"/>
  <c r="R44" i="87"/>
  <c r="R43" i="87"/>
  <c r="R42" i="87"/>
  <c r="R41" i="87"/>
  <c r="R40" i="87"/>
  <c r="R39" i="87"/>
  <c r="R38" i="87"/>
  <c r="R37" i="87"/>
  <c r="R36" i="87"/>
  <c r="R35" i="87"/>
  <c r="R34" i="87"/>
  <c r="R33" i="87"/>
  <c r="R32" i="87"/>
  <c r="R31" i="87"/>
  <c r="R30" i="87"/>
  <c r="R22" i="87"/>
  <c r="R21" i="87"/>
  <c r="R20" i="87"/>
  <c r="R19" i="87"/>
  <c r="R18" i="87"/>
  <c r="R17" i="87"/>
  <c r="R16" i="87"/>
  <c r="R15" i="87"/>
  <c r="R14" i="87"/>
  <c r="R13" i="87"/>
  <c r="R12" i="87"/>
  <c r="R11" i="87"/>
  <c r="R10" i="87"/>
  <c r="R9" i="87"/>
  <c r="R8" i="87"/>
  <c r="R7" i="87"/>
  <c r="R23" i="87" s="1"/>
  <c r="N2" i="87"/>
  <c r="H2" i="87"/>
  <c r="R45" i="86"/>
  <c r="R44" i="86"/>
  <c r="R43" i="86"/>
  <c r="R42" i="86"/>
  <c r="R41" i="86"/>
  <c r="R40" i="86"/>
  <c r="R39" i="86"/>
  <c r="R38" i="86"/>
  <c r="R37" i="86"/>
  <c r="R36" i="86"/>
  <c r="R35" i="86"/>
  <c r="R34" i="86"/>
  <c r="R33" i="86"/>
  <c r="R32" i="86"/>
  <c r="R31" i="86"/>
  <c r="R30" i="86"/>
  <c r="R22" i="86"/>
  <c r="R21" i="86"/>
  <c r="R20" i="86"/>
  <c r="R19" i="86"/>
  <c r="R18" i="86"/>
  <c r="R17" i="86"/>
  <c r="R16" i="86"/>
  <c r="R15" i="86"/>
  <c r="R14" i="86"/>
  <c r="R13" i="86"/>
  <c r="R12" i="86"/>
  <c r="R11" i="86"/>
  <c r="R10" i="86"/>
  <c r="R9" i="86"/>
  <c r="R8" i="86"/>
  <c r="R7" i="86"/>
  <c r="N2" i="86"/>
  <c r="H2" i="86"/>
  <c r="O46" i="85"/>
  <c r="N46" i="85"/>
  <c r="M46" i="85"/>
  <c r="K46" i="85"/>
  <c r="O45" i="85"/>
  <c r="K45" i="85"/>
  <c r="M45" i="85" s="1"/>
  <c r="N45" i="85" s="1"/>
  <c r="O44" i="85"/>
  <c r="N44" i="85"/>
  <c r="M44" i="85"/>
  <c r="K44" i="85"/>
  <c r="O43" i="85"/>
  <c r="K43" i="85"/>
  <c r="M43" i="85" s="1"/>
  <c r="N43" i="85" s="1"/>
  <c r="O42" i="85"/>
  <c r="N42" i="85"/>
  <c r="M42" i="85"/>
  <c r="K42" i="85"/>
  <c r="K41" i="85"/>
  <c r="M41" i="85" s="1"/>
  <c r="O40" i="85"/>
  <c r="N40" i="85"/>
  <c r="M40" i="85"/>
  <c r="K40" i="85"/>
  <c r="K39" i="85"/>
  <c r="M39" i="85" s="1"/>
  <c r="N39" i="85" s="1"/>
  <c r="J38" i="85"/>
  <c r="K38" i="85" s="1"/>
  <c r="M38" i="85" s="1"/>
  <c r="M37" i="85"/>
  <c r="J37" i="85"/>
  <c r="K37" i="85" s="1"/>
  <c r="M36" i="85"/>
  <c r="J36" i="85"/>
  <c r="K36" i="85" s="1"/>
  <c r="K32" i="85"/>
  <c r="M32" i="85" s="1"/>
  <c r="O31" i="85"/>
  <c r="N31" i="85"/>
  <c r="M31" i="85"/>
  <c r="K31" i="85"/>
  <c r="K30" i="85"/>
  <c r="M30" i="85" s="1"/>
  <c r="N30" i="85" s="1"/>
  <c r="J30" i="85"/>
  <c r="K29" i="85"/>
  <c r="M29" i="85" s="1"/>
  <c r="N29" i="85" s="1"/>
  <c r="M28" i="85"/>
  <c r="J28" i="85"/>
  <c r="K28" i="85" s="1"/>
  <c r="M27" i="85"/>
  <c r="K27" i="85"/>
  <c r="N26" i="85"/>
  <c r="K26" i="85"/>
  <c r="M26" i="85" s="1"/>
  <c r="O26" i="85" s="1"/>
  <c r="M25" i="85"/>
  <c r="K25" i="85"/>
  <c r="N24" i="85"/>
  <c r="K24" i="85"/>
  <c r="M24" i="85" s="1"/>
  <c r="O24" i="85" s="1"/>
  <c r="M23" i="85"/>
  <c r="K23" i="85"/>
  <c r="N22" i="85"/>
  <c r="K22" i="85"/>
  <c r="M22" i="85" s="1"/>
  <c r="O22" i="85" s="1"/>
  <c r="M21" i="85"/>
  <c r="K21" i="85"/>
  <c r="N20" i="85"/>
  <c r="K20" i="85"/>
  <c r="M20" i="85" s="1"/>
  <c r="O20" i="85" s="1"/>
  <c r="M19" i="85"/>
  <c r="K19" i="85"/>
  <c r="N18" i="85"/>
  <c r="K18" i="85"/>
  <c r="M18" i="85" s="1"/>
  <c r="O18" i="85" s="1"/>
  <c r="M17" i="85"/>
  <c r="K17" i="85"/>
  <c r="N16" i="85"/>
  <c r="K16" i="85"/>
  <c r="M16" i="85" s="1"/>
  <c r="O16" i="85" s="1"/>
  <c r="M15" i="85"/>
  <c r="K15" i="85"/>
  <c r="K14" i="85"/>
  <c r="I12" i="85"/>
  <c r="G12" i="85" s="1"/>
  <c r="H12" i="85" s="1"/>
  <c r="E12" i="85"/>
  <c r="E9" i="85"/>
  <c r="O7" i="85"/>
  <c r="H7" i="85"/>
  <c r="D7" i="85"/>
  <c r="H5" i="85"/>
  <c r="D5" i="85"/>
  <c r="H3" i="85"/>
  <c r="D3" i="85"/>
  <c r="O37" i="84"/>
  <c r="N37" i="84"/>
  <c r="M37" i="84"/>
  <c r="K37" i="84"/>
  <c r="O36" i="84"/>
  <c r="K36" i="84"/>
  <c r="M36" i="84" s="1"/>
  <c r="N36" i="84" s="1"/>
  <c r="O35" i="84"/>
  <c r="N35" i="84"/>
  <c r="M35" i="84"/>
  <c r="K35" i="84"/>
  <c r="O34" i="84"/>
  <c r="K34" i="84"/>
  <c r="M34" i="84" s="1"/>
  <c r="N34" i="84" s="1"/>
  <c r="O33" i="84"/>
  <c r="N33" i="84"/>
  <c r="M33" i="84"/>
  <c r="K33" i="84"/>
  <c r="O32" i="84"/>
  <c r="K32" i="84"/>
  <c r="M32" i="84" s="1"/>
  <c r="N32" i="84" s="1"/>
  <c r="O31" i="84"/>
  <c r="N31" i="84"/>
  <c r="M31" i="84"/>
  <c r="K31" i="84"/>
  <c r="O30" i="84"/>
  <c r="K30" i="84"/>
  <c r="M30" i="84" s="1"/>
  <c r="N30" i="84" s="1"/>
  <c r="N29" i="84"/>
  <c r="J29" i="84"/>
  <c r="K29" i="84" s="1"/>
  <c r="M29" i="84" s="1"/>
  <c r="O29" i="84" s="1"/>
  <c r="M28" i="84"/>
  <c r="J28" i="84"/>
  <c r="K28" i="84" s="1"/>
  <c r="J27" i="84"/>
  <c r="K27" i="84" s="1"/>
  <c r="M27" i="84" s="1"/>
  <c r="O23" i="84"/>
  <c r="K23" i="84"/>
  <c r="M23" i="84" s="1"/>
  <c r="N23" i="84" s="1"/>
  <c r="O22" i="84"/>
  <c r="N22" i="84"/>
  <c r="M22" i="84"/>
  <c r="K22" i="84"/>
  <c r="O21" i="84"/>
  <c r="K21" i="84"/>
  <c r="M21" i="84" s="1"/>
  <c r="N21" i="84" s="1"/>
  <c r="N20" i="84"/>
  <c r="M20" i="84"/>
  <c r="O20" i="84" s="1"/>
  <c r="K20" i="84"/>
  <c r="O19" i="84"/>
  <c r="K19" i="84"/>
  <c r="M19" i="84" s="1"/>
  <c r="N19" i="84" s="1"/>
  <c r="N18" i="84"/>
  <c r="M18" i="84"/>
  <c r="O18" i="84" s="1"/>
  <c r="K18" i="84"/>
  <c r="O17" i="84"/>
  <c r="K17" i="84"/>
  <c r="M17" i="84" s="1"/>
  <c r="N17" i="84" s="1"/>
  <c r="N16" i="84"/>
  <c r="M16" i="84"/>
  <c r="O16" i="84" s="1"/>
  <c r="K16" i="84"/>
  <c r="K15" i="84"/>
  <c r="M14" i="84"/>
  <c r="K14" i="84"/>
  <c r="L12" i="84"/>
  <c r="I12" i="84"/>
  <c r="H12" i="84"/>
  <c r="G12" i="84"/>
  <c r="E12" i="84"/>
  <c r="E9" i="84"/>
  <c r="O7" i="84"/>
  <c r="H7" i="84"/>
  <c r="D7" i="84"/>
  <c r="H5" i="84"/>
  <c r="D5" i="84"/>
  <c r="H3" i="84"/>
  <c r="D3" i="84"/>
  <c r="L62" i="83"/>
  <c r="J62" i="83"/>
  <c r="K62" i="83" s="1"/>
  <c r="H62" i="83"/>
  <c r="K61" i="83"/>
  <c r="H61" i="83"/>
  <c r="J61" i="83" s="1"/>
  <c r="L61" i="83" s="1"/>
  <c r="J60" i="83"/>
  <c r="K60" i="83" s="1"/>
  <c r="H60" i="83"/>
  <c r="H59" i="83"/>
  <c r="J59" i="83" s="1"/>
  <c r="L59" i="83" s="1"/>
  <c r="J58" i="83"/>
  <c r="K58" i="83" s="1"/>
  <c r="H58" i="83"/>
  <c r="H57" i="83"/>
  <c r="J57" i="83" s="1"/>
  <c r="L57" i="83" s="1"/>
  <c r="J56" i="83"/>
  <c r="H56" i="83"/>
  <c r="H55" i="83"/>
  <c r="J55" i="83" s="1"/>
  <c r="L55" i="83" s="1"/>
  <c r="L54" i="83"/>
  <c r="J54" i="83"/>
  <c r="K54" i="83" s="1"/>
  <c r="H54" i="83"/>
  <c r="H53" i="83"/>
  <c r="L50" i="83"/>
  <c r="J50" i="83"/>
  <c r="K50" i="83" s="1"/>
  <c r="H50" i="83"/>
  <c r="K49" i="83"/>
  <c r="L49" i="83" s="1"/>
  <c r="H49" i="83"/>
  <c r="J49" i="83" s="1"/>
  <c r="H48" i="83"/>
  <c r="J48" i="83" s="1"/>
  <c r="K48" i="83" s="1"/>
  <c r="L48" i="83" s="1"/>
  <c r="K47" i="83"/>
  <c r="L47" i="83" s="1"/>
  <c r="H47" i="83"/>
  <c r="J47" i="83" s="1"/>
  <c r="J46" i="83"/>
  <c r="K46" i="83" s="1"/>
  <c r="L46" i="83" s="1"/>
  <c r="H46" i="83"/>
  <c r="K45" i="83"/>
  <c r="L45" i="83" s="1"/>
  <c r="H45" i="83"/>
  <c r="J45" i="83" s="1"/>
  <c r="J44" i="83"/>
  <c r="K44" i="83" s="1"/>
  <c r="L44" i="83" s="1"/>
  <c r="H44" i="83"/>
  <c r="H43" i="83"/>
  <c r="J43" i="83" s="1"/>
  <c r="K43" i="83" s="1"/>
  <c r="L43" i="83" s="1"/>
  <c r="H42" i="83"/>
  <c r="J42" i="83" s="1"/>
  <c r="K42" i="83" s="1"/>
  <c r="L42" i="83" s="1"/>
  <c r="K41" i="83"/>
  <c r="L41" i="83" s="1"/>
  <c r="H41" i="83"/>
  <c r="J41" i="83" s="1"/>
  <c r="H40" i="83"/>
  <c r="J40" i="83" s="1"/>
  <c r="K40" i="83" s="1"/>
  <c r="L40" i="83" s="1"/>
  <c r="H39" i="83"/>
  <c r="J39" i="83" s="1"/>
  <c r="K39" i="83" s="1"/>
  <c r="L39" i="83" s="1"/>
  <c r="J37" i="83"/>
  <c r="K37" i="83" s="1"/>
  <c r="L37" i="83" s="1"/>
  <c r="H37" i="83"/>
  <c r="K36" i="83"/>
  <c r="L36" i="83" s="1"/>
  <c r="H36" i="83"/>
  <c r="J36" i="83" s="1"/>
  <c r="H35" i="83"/>
  <c r="J35" i="83" s="1"/>
  <c r="K35" i="83" s="1"/>
  <c r="L35" i="83" s="1"/>
  <c r="K33" i="83"/>
  <c r="L33" i="83" s="1"/>
  <c r="J33" i="83"/>
  <c r="G33" i="83"/>
  <c r="H33" i="83" s="1"/>
  <c r="J32" i="83"/>
  <c r="K32" i="83" s="1"/>
  <c r="L32" i="83" s="1"/>
  <c r="G32" i="83"/>
  <c r="H32" i="83" s="1"/>
  <c r="L31" i="83"/>
  <c r="J31" i="83"/>
  <c r="K31" i="83" s="1"/>
  <c r="J30" i="83"/>
  <c r="K30" i="83" s="1"/>
  <c r="L30" i="83" s="1"/>
  <c r="H30" i="83"/>
  <c r="H29" i="83"/>
  <c r="J29" i="83" s="1"/>
  <c r="K29" i="83" s="1"/>
  <c r="L29" i="83" s="1"/>
  <c r="J28" i="83"/>
  <c r="K28" i="83" s="1"/>
  <c r="L28" i="83" s="1"/>
  <c r="H28" i="83"/>
  <c r="L27" i="83"/>
  <c r="K27" i="83"/>
  <c r="H27" i="83"/>
  <c r="J27" i="83" s="1"/>
  <c r="J26" i="83"/>
  <c r="K26" i="83" s="1"/>
  <c r="L26" i="83" s="1"/>
  <c r="H26" i="83"/>
  <c r="H25" i="83"/>
  <c r="J25" i="83" s="1"/>
  <c r="K25" i="83" s="1"/>
  <c r="L25" i="83" s="1"/>
  <c r="K24" i="83"/>
  <c r="L24" i="83" s="1"/>
  <c r="J23" i="83"/>
  <c r="K23" i="83" s="1"/>
  <c r="L23" i="83" s="1"/>
  <c r="H23" i="83"/>
  <c r="G23" i="83"/>
  <c r="L22" i="83"/>
  <c r="H22" i="83"/>
  <c r="J22" i="83" s="1"/>
  <c r="K22" i="83" s="1"/>
  <c r="G22" i="83"/>
  <c r="H21" i="83"/>
  <c r="J21" i="83" s="1"/>
  <c r="K21" i="83" s="1"/>
  <c r="L21" i="83" s="1"/>
  <c r="G21" i="83"/>
  <c r="H20" i="83"/>
  <c r="J20" i="83" s="1"/>
  <c r="K20" i="83" s="1"/>
  <c r="L20" i="83" s="1"/>
  <c r="G20" i="83"/>
  <c r="G19" i="83"/>
  <c r="H19" i="83" s="1"/>
  <c r="J19" i="83" s="1"/>
  <c r="K19" i="83" s="1"/>
  <c r="L19" i="83" s="1"/>
  <c r="J18" i="83"/>
  <c r="K18" i="83" s="1"/>
  <c r="L18" i="83" s="1"/>
  <c r="G18" i="83"/>
  <c r="H18" i="83" s="1"/>
  <c r="G17" i="83"/>
  <c r="H17" i="83" s="1"/>
  <c r="J17" i="83" s="1"/>
  <c r="K17" i="83" s="1"/>
  <c r="L17" i="83" s="1"/>
  <c r="G16" i="83"/>
  <c r="H16" i="83" s="1"/>
  <c r="J16" i="83" s="1"/>
  <c r="K16" i="83" s="1"/>
  <c r="L16" i="83" s="1"/>
  <c r="J15" i="83"/>
  <c r="H15" i="83"/>
  <c r="G15" i="83"/>
  <c r="D9" i="83"/>
  <c r="L7" i="83"/>
  <c r="G7" i="83"/>
  <c r="C7" i="83"/>
  <c r="G5" i="83"/>
  <c r="C5" i="83"/>
  <c r="G3" i="83"/>
  <c r="C3" i="83"/>
  <c r="K61" i="82"/>
  <c r="H61" i="82"/>
  <c r="J61" i="82" s="1"/>
  <c r="L61" i="82" s="1"/>
  <c r="J60" i="82"/>
  <c r="K60" i="82" s="1"/>
  <c r="H60" i="82"/>
  <c r="H59" i="82"/>
  <c r="J59" i="82" s="1"/>
  <c r="L59" i="82" s="1"/>
  <c r="L58" i="82"/>
  <c r="J58" i="82"/>
  <c r="K58" i="82" s="1"/>
  <c r="H58" i="82"/>
  <c r="H57" i="82"/>
  <c r="J57" i="82" s="1"/>
  <c r="L57" i="82" s="1"/>
  <c r="J56" i="82"/>
  <c r="H56" i="82"/>
  <c r="H55" i="82"/>
  <c r="J55" i="82" s="1"/>
  <c r="L55" i="82" s="1"/>
  <c r="L54" i="82"/>
  <c r="J54" i="82"/>
  <c r="K54" i="82" s="1"/>
  <c r="H54" i="82"/>
  <c r="H53" i="82"/>
  <c r="J52" i="82"/>
  <c r="H52" i="82"/>
  <c r="K49" i="82"/>
  <c r="L49" i="82" s="1"/>
  <c r="H49" i="82"/>
  <c r="J49" i="82" s="1"/>
  <c r="H48" i="82"/>
  <c r="J48" i="82" s="1"/>
  <c r="K48" i="82" s="1"/>
  <c r="L48" i="82" s="1"/>
  <c r="K47" i="82"/>
  <c r="L47" i="82" s="1"/>
  <c r="H47" i="82"/>
  <c r="J47" i="82" s="1"/>
  <c r="J46" i="82"/>
  <c r="K46" i="82" s="1"/>
  <c r="L46" i="82" s="1"/>
  <c r="H46" i="82"/>
  <c r="H45" i="82"/>
  <c r="J45" i="82" s="1"/>
  <c r="K45" i="82" s="1"/>
  <c r="L45" i="82" s="1"/>
  <c r="S44" i="82"/>
  <c r="K44" i="82"/>
  <c r="L44" i="82" s="1"/>
  <c r="J44" i="82"/>
  <c r="H44" i="82"/>
  <c r="S43" i="82"/>
  <c r="J43" i="82"/>
  <c r="K43" i="82" s="1"/>
  <c r="L43" i="82" s="1"/>
  <c r="H43" i="82"/>
  <c r="S42" i="82"/>
  <c r="L42" i="82"/>
  <c r="J42" i="82"/>
  <c r="K42" i="82" s="1"/>
  <c r="H42" i="82"/>
  <c r="S41" i="82"/>
  <c r="L41" i="82"/>
  <c r="J41" i="82"/>
  <c r="K41" i="82" s="1"/>
  <c r="H41" i="82"/>
  <c r="S40" i="82"/>
  <c r="L40" i="82"/>
  <c r="H40" i="82"/>
  <c r="J40" i="82" s="1"/>
  <c r="K40" i="82" s="1"/>
  <c r="S39" i="82"/>
  <c r="H39" i="82"/>
  <c r="J39" i="82" s="1"/>
  <c r="K39" i="82" s="1"/>
  <c r="L39" i="82" s="1"/>
  <c r="S38" i="82"/>
  <c r="H38" i="82"/>
  <c r="J38" i="82" s="1"/>
  <c r="K38" i="82" s="1"/>
  <c r="L38" i="82" s="1"/>
  <c r="L36" i="82"/>
  <c r="J36" i="82"/>
  <c r="K36" i="82" s="1"/>
  <c r="H36" i="82"/>
  <c r="H35" i="82"/>
  <c r="J35" i="82" s="1"/>
  <c r="K35" i="82" s="1"/>
  <c r="L35" i="82" s="1"/>
  <c r="L34" i="82"/>
  <c r="J34" i="82"/>
  <c r="K34" i="82" s="1"/>
  <c r="H34" i="82"/>
  <c r="G32" i="82"/>
  <c r="H32" i="82" s="1"/>
  <c r="J32" i="82" s="1"/>
  <c r="K32" i="82" s="1"/>
  <c r="L32" i="82" s="1"/>
  <c r="G31" i="82"/>
  <c r="H31" i="82" s="1"/>
  <c r="J31" i="82" s="1"/>
  <c r="K31" i="82" s="1"/>
  <c r="L31" i="82" s="1"/>
  <c r="J30" i="82"/>
  <c r="K30" i="82" s="1"/>
  <c r="L30" i="82" s="1"/>
  <c r="J29" i="82"/>
  <c r="K29" i="82" s="1"/>
  <c r="L29" i="82" s="1"/>
  <c r="H29" i="82"/>
  <c r="H28" i="82"/>
  <c r="J28" i="82" s="1"/>
  <c r="K28" i="82" s="1"/>
  <c r="L28" i="82" s="1"/>
  <c r="J27" i="82"/>
  <c r="K27" i="82" s="1"/>
  <c r="L27" i="82" s="1"/>
  <c r="H27" i="82"/>
  <c r="H26" i="82"/>
  <c r="J26" i="82" s="1"/>
  <c r="K26" i="82" s="1"/>
  <c r="L26" i="82" s="1"/>
  <c r="J25" i="82"/>
  <c r="K25" i="82" s="1"/>
  <c r="L25" i="82" s="1"/>
  <c r="H25" i="82"/>
  <c r="L24" i="82"/>
  <c r="H24" i="82"/>
  <c r="J24" i="82" s="1"/>
  <c r="K24" i="82" s="1"/>
  <c r="K23" i="82"/>
  <c r="L23" i="82" s="1"/>
  <c r="J23" i="82"/>
  <c r="G22" i="82"/>
  <c r="H22" i="82" s="1"/>
  <c r="J22" i="82" s="1"/>
  <c r="K22" i="82" s="1"/>
  <c r="L22" i="82" s="1"/>
  <c r="J21" i="82"/>
  <c r="K21" i="82" s="1"/>
  <c r="L21" i="82" s="1"/>
  <c r="G21" i="82"/>
  <c r="H21" i="82" s="1"/>
  <c r="J20" i="82"/>
  <c r="K20" i="82" s="1"/>
  <c r="L20" i="82" s="1"/>
  <c r="H20" i="82"/>
  <c r="H19" i="82"/>
  <c r="J19" i="82" s="1"/>
  <c r="K19" i="82" s="1"/>
  <c r="L19" i="82" s="1"/>
  <c r="J18" i="82"/>
  <c r="K18" i="82" s="1"/>
  <c r="L18" i="82" s="1"/>
  <c r="H18" i="82"/>
  <c r="K17" i="82"/>
  <c r="L17" i="82" s="1"/>
  <c r="H17" i="82"/>
  <c r="J17" i="82" s="1"/>
  <c r="J16" i="82"/>
  <c r="K16" i="82" s="1"/>
  <c r="L16" i="82" s="1"/>
  <c r="H16" i="82"/>
  <c r="H15" i="82"/>
  <c r="G15" i="82"/>
  <c r="D9" i="82"/>
  <c r="L7" i="82"/>
  <c r="G7" i="82"/>
  <c r="C7" i="82"/>
  <c r="G5" i="82"/>
  <c r="C5" i="82"/>
  <c r="G3" i="82"/>
  <c r="C3" i="82"/>
  <c r="J55" i="81"/>
  <c r="I55" i="81"/>
  <c r="K55" i="81" s="1"/>
  <c r="G55" i="81"/>
  <c r="K54" i="81"/>
  <c r="G54" i="81"/>
  <c r="I54" i="81" s="1"/>
  <c r="J54" i="81" s="1"/>
  <c r="I53" i="81"/>
  <c r="K53" i="81" s="1"/>
  <c r="G53" i="81"/>
  <c r="G52" i="81"/>
  <c r="I52" i="81" s="1"/>
  <c r="J52" i="81" s="1"/>
  <c r="I51" i="81"/>
  <c r="K51" i="81" s="1"/>
  <c r="F51" i="81"/>
  <c r="G51" i="81" s="1"/>
  <c r="F50" i="81"/>
  <c r="G50" i="81" s="1"/>
  <c r="I50" i="81" s="1"/>
  <c r="I49" i="81"/>
  <c r="G49" i="81"/>
  <c r="F49" i="81"/>
  <c r="K48" i="81"/>
  <c r="I48" i="81"/>
  <c r="J48" i="81" s="1"/>
  <c r="G48" i="81"/>
  <c r="F48" i="81"/>
  <c r="G47" i="81"/>
  <c r="I47" i="81" s="1"/>
  <c r="F47" i="81"/>
  <c r="K46" i="81"/>
  <c r="J46" i="81"/>
  <c r="G46" i="81"/>
  <c r="I46" i="81" s="1"/>
  <c r="F46" i="81"/>
  <c r="G45" i="81"/>
  <c r="I45" i="81" s="1"/>
  <c r="F45" i="81"/>
  <c r="J44" i="81"/>
  <c r="F44" i="81"/>
  <c r="G44" i="81" s="1"/>
  <c r="I44" i="81" s="1"/>
  <c r="K44" i="81" s="1"/>
  <c r="I41" i="81"/>
  <c r="G41" i="81"/>
  <c r="K40" i="81"/>
  <c r="J40" i="81"/>
  <c r="G40" i="81"/>
  <c r="I40" i="81" s="1"/>
  <c r="F40" i="81"/>
  <c r="F39" i="81"/>
  <c r="G39" i="81" s="1"/>
  <c r="I39" i="81" s="1"/>
  <c r="J38" i="81"/>
  <c r="F38" i="81"/>
  <c r="G38" i="81" s="1"/>
  <c r="I38" i="81" s="1"/>
  <c r="K38" i="81" s="1"/>
  <c r="I37" i="81"/>
  <c r="G37" i="81"/>
  <c r="K36" i="81"/>
  <c r="G36" i="81"/>
  <c r="I36" i="81" s="1"/>
  <c r="J36" i="81" s="1"/>
  <c r="F36" i="81"/>
  <c r="K35" i="81"/>
  <c r="G35" i="81"/>
  <c r="I35" i="81" s="1"/>
  <c r="J35" i="81" s="1"/>
  <c r="F35" i="81"/>
  <c r="J34" i="81"/>
  <c r="G34" i="81"/>
  <c r="I34" i="81" s="1"/>
  <c r="K34" i="81" s="1"/>
  <c r="I33" i="81"/>
  <c r="J33" i="81" s="1"/>
  <c r="G33" i="81"/>
  <c r="J32" i="81"/>
  <c r="G32" i="81"/>
  <c r="I32" i="81" s="1"/>
  <c r="K32" i="81" s="1"/>
  <c r="I31" i="81"/>
  <c r="G31" i="81"/>
  <c r="F31" i="81"/>
  <c r="I30" i="81"/>
  <c r="G30" i="81"/>
  <c r="F30" i="81"/>
  <c r="G29" i="81"/>
  <c r="I29" i="81" s="1"/>
  <c r="J29" i="81" s="1"/>
  <c r="F29" i="81"/>
  <c r="G28" i="81"/>
  <c r="I28" i="81" s="1"/>
  <c r="F28" i="81"/>
  <c r="F27" i="81"/>
  <c r="G27" i="81" s="1"/>
  <c r="I27" i="81" s="1"/>
  <c r="K27" i="81" s="1"/>
  <c r="J26" i="81"/>
  <c r="F26" i="81"/>
  <c r="G26" i="81" s="1"/>
  <c r="I26" i="81" s="1"/>
  <c r="K26" i="81" s="1"/>
  <c r="I25" i="81"/>
  <c r="F25" i="81"/>
  <c r="G25" i="81" s="1"/>
  <c r="F24" i="81"/>
  <c r="G24" i="81" s="1"/>
  <c r="I24" i="81" s="1"/>
  <c r="K23" i="81"/>
  <c r="I23" i="81"/>
  <c r="J23" i="81" s="1"/>
  <c r="G23" i="81"/>
  <c r="F23" i="81"/>
  <c r="K22" i="81"/>
  <c r="I22" i="81"/>
  <c r="J22" i="81" s="1"/>
  <c r="G22" i="81"/>
  <c r="F22" i="81"/>
  <c r="K21" i="81"/>
  <c r="G21" i="81"/>
  <c r="I21" i="81" s="1"/>
  <c r="J21" i="81" s="1"/>
  <c r="F21" i="81"/>
  <c r="G20" i="81"/>
  <c r="I20" i="81" s="1"/>
  <c r="F20" i="81"/>
  <c r="G19" i="81"/>
  <c r="I19" i="81" s="1"/>
  <c r="F19" i="81"/>
  <c r="J18" i="81"/>
  <c r="I18" i="81"/>
  <c r="K18" i="81" s="1"/>
  <c r="G18" i="81"/>
  <c r="J17" i="81"/>
  <c r="I17" i="81"/>
  <c r="K16" i="81"/>
  <c r="J16" i="81"/>
  <c r="G16" i="81"/>
  <c r="I16" i="81" s="1"/>
  <c r="F16" i="81"/>
  <c r="F15" i="81"/>
  <c r="G15" i="81" s="1"/>
  <c r="F14" i="81"/>
  <c r="G14" i="81" s="1"/>
  <c r="D10" i="81"/>
  <c r="K7" i="81"/>
  <c r="F7" i="81"/>
  <c r="C7" i="81"/>
  <c r="F5" i="81"/>
  <c r="C5" i="81"/>
  <c r="F3" i="81"/>
  <c r="C3" i="81"/>
  <c r="K66" i="80"/>
  <c r="I66" i="80"/>
  <c r="J66" i="80" s="1"/>
  <c r="C73" i="80" s="1"/>
  <c r="G66" i="80"/>
  <c r="G65" i="80"/>
  <c r="I65" i="80" s="1"/>
  <c r="I64" i="80"/>
  <c r="J64" i="80" s="1"/>
  <c r="G64" i="80"/>
  <c r="G63" i="80"/>
  <c r="I63" i="80" s="1"/>
  <c r="G62" i="80"/>
  <c r="I62" i="80" s="1"/>
  <c r="G61" i="80"/>
  <c r="I61" i="80" s="1"/>
  <c r="I60" i="80"/>
  <c r="J60" i="80" s="1"/>
  <c r="G60" i="80"/>
  <c r="J59" i="80"/>
  <c r="G59" i="80"/>
  <c r="I59" i="80" s="1"/>
  <c r="K59" i="80" s="1"/>
  <c r="G58" i="80"/>
  <c r="I58" i="80" s="1"/>
  <c r="F58" i="80"/>
  <c r="G57" i="80"/>
  <c r="F57" i="80"/>
  <c r="I54" i="80"/>
  <c r="G54" i="80"/>
  <c r="K53" i="80"/>
  <c r="G53" i="80"/>
  <c r="I53" i="80" s="1"/>
  <c r="J53" i="80" s="1"/>
  <c r="O53" i="80" s="1"/>
  <c r="G52" i="80"/>
  <c r="I52" i="80" s="1"/>
  <c r="J51" i="80"/>
  <c r="O51" i="80" s="1"/>
  <c r="G51" i="80"/>
  <c r="I51" i="80" s="1"/>
  <c r="K51" i="80" s="1"/>
  <c r="O50" i="80"/>
  <c r="J50" i="80"/>
  <c r="G50" i="80"/>
  <c r="I50" i="80" s="1"/>
  <c r="K50" i="80" s="1"/>
  <c r="I49" i="80"/>
  <c r="K49" i="80" s="1"/>
  <c r="G49" i="80"/>
  <c r="I48" i="80"/>
  <c r="G48" i="80"/>
  <c r="I47" i="80"/>
  <c r="G47" i="80"/>
  <c r="G46" i="80"/>
  <c r="I46" i="80" s="1"/>
  <c r="K45" i="80"/>
  <c r="G45" i="80"/>
  <c r="I45" i="80" s="1"/>
  <c r="J45" i="80" s="1"/>
  <c r="P45" i="80" s="1"/>
  <c r="J44" i="80"/>
  <c r="P44" i="80" s="1"/>
  <c r="G44" i="80"/>
  <c r="I44" i="80" s="1"/>
  <c r="K44" i="80" s="1"/>
  <c r="J43" i="80"/>
  <c r="P43" i="80" s="1"/>
  <c r="G43" i="80"/>
  <c r="I43" i="80" s="1"/>
  <c r="K43" i="80" s="1"/>
  <c r="J42" i="80"/>
  <c r="P42" i="80" s="1"/>
  <c r="G42" i="80"/>
  <c r="I42" i="80" s="1"/>
  <c r="K42" i="80" s="1"/>
  <c r="I41" i="80"/>
  <c r="G41" i="80"/>
  <c r="I40" i="80"/>
  <c r="G40" i="80"/>
  <c r="I39" i="80"/>
  <c r="G39" i="80"/>
  <c r="I38" i="80"/>
  <c r="G38" i="80"/>
  <c r="K37" i="80"/>
  <c r="G37" i="80"/>
  <c r="I37" i="80" s="1"/>
  <c r="J37" i="80" s="1"/>
  <c r="N37" i="80" s="1"/>
  <c r="G36" i="80"/>
  <c r="I36" i="80" s="1"/>
  <c r="F36" i="80"/>
  <c r="I35" i="80"/>
  <c r="G35" i="80"/>
  <c r="K34" i="80"/>
  <c r="G34" i="80"/>
  <c r="I34" i="80" s="1"/>
  <c r="J34" i="80" s="1"/>
  <c r="N34" i="80" s="1"/>
  <c r="J33" i="80"/>
  <c r="N33" i="80" s="1"/>
  <c r="G33" i="80"/>
  <c r="I33" i="80" s="1"/>
  <c r="K33" i="80" s="1"/>
  <c r="G32" i="80"/>
  <c r="I32" i="80" s="1"/>
  <c r="N31" i="80"/>
  <c r="J31" i="80"/>
  <c r="G31" i="80"/>
  <c r="I31" i="80" s="1"/>
  <c r="K31" i="80" s="1"/>
  <c r="J30" i="80"/>
  <c r="N30" i="80" s="1"/>
  <c r="I30" i="80"/>
  <c r="K30" i="80" s="1"/>
  <c r="G30" i="80"/>
  <c r="I29" i="80"/>
  <c r="G29" i="80"/>
  <c r="F28" i="80"/>
  <c r="G28" i="80" s="1"/>
  <c r="I28" i="80" s="1"/>
  <c r="I27" i="80"/>
  <c r="F27" i="80"/>
  <c r="G27" i="80" s="1"/>
  <c r="G26" i="80"/>
  <c r="I26" i="80" s="1"/>
  <c r="F26" i="80"/>
  <c r="G25" i="80"/>
  <c r="I25" i="80" s="1"/>
  <c r="F25" i="80"/>
  <c r="M24" i="80"/>
  <c r="K24" i="80"/>
  <c r="I24" i="80"/>
  <c r="J24" i="80" s="1"/>
  <c r="G24" i="80"/>
  <c r="G23" i="80"/>
  <c r="I23" i="80" s="1"/>
  <c r="K22" i="80"/>
  <c r="G22" i="80"/>
  <c r="I22" i="80" s="1"/>
  <c r="J22" i="80" s="1"/>
  <c r="M22" i="80" s="1"/>
  <c r="G21" i="80"/>
  <c r="I21" i="80" s="1"/>
  <c r="G20" i="80"/>
  <c r="I20" i="80" s="1"/>
  <c r="K20" i="80" s="1"/>
  <c r="F19" i="80"/>
  <c r="G19" i="80" s="1"/>
  <c r="I19" i="80" s="1"/>
  <c r="G18" i="80"/>
  <c r="I18" i="80" s="1"/>
  <c r="F18" i="80"/>
  <c r="K17" i="80"/>
  <c r="G17" i="80"/>
  <c r="I17" i="80" s="1"/>
  <c r="J17" i="80" s="1"/>
  <c r="M17" i="80" s="1"/>
  <c r="K16" i="80"/>
  <c r="G16" i="80"/>
  <c r="I16" i="80" s="1"/>
  <c r="J16" i="80" s="1"/>
  <c r="M16" i="80" s="1"/>
  <c r="J15" i="80"/>
  <c r="M15" i="80" s="1"/>
  <c r="G15" i="80"/>
  <c r="I15" i="80" s="1"/>
  <c r="K15" i="80" s="1"/>
  <c r="F15" i="80"/>
  <c r="K14" i="80"/>
  <c r="G14" i="80"/>
  <c r="I14" i="80" s="1"/>
  <c r="J14" i="80" s="1"/>
  <c r="M14" i="80" s="1"/>
  <c r="F14" i="80"/>
  <c r="F13" i="80"/>
  <c r="G13" i="80" s="1"/>
  <c r="D9" i="80"/>
  <c r="K7" i="80"/>
  <c r="F7" i="80"/>
  <c r="C7" i="80"/>
  <c r="F5" i="80"/>
  <c r="C5" i="80"/>
  <c r="F3" i="80"/>
  <c r="C3" i="80"/>
  <c r="I66" i="79"/>
  <c r="K66" i="79" s="1"/>
  <c r="G66" i="79"/>
  <c r="K65" i="79"/>
  <c r="G65" i="79"/>
  <c r="I65" i="79" s="1"/>
  <c r="J65" i="79" s="1"/>
  <c r="J64" i="79"/>
  <c r="I64" i="79"/>
  <c r="K64" i="79" s="1"/>
  <c r="G64" i="79"/>
  <c r="G63" i="79"/>
  <c r="I63" i="79" s="1"/>
  <c r="J63" i="79" s="1"/>
  <c r="J62" i="79"/>
  <c r="I62" i="79"/>
  <c r="K62" i="79" s="1"/>
  <c r="G62" i="79"/>
  <c r="K61" i="79"/>
  <c r="G61" i="79"/>
  <c r="I61" i="79" s="1"/>
  <c r="J61" i="79" s="1"/>
  <c r="J60" i="79"/>
  <c r="I60" i="79"/>
  <c r="K60" i="79" s="1"/>
  <c r="G60" i="79"/>
  <c r="K59" i="79"/>
  <c r="G59" i="79"/>
  <c r="I59" i="79" s="1"/>
  <c r="J59" i="79" s="1"/>
  <c r="F59" i="79"/>
  <c r="G58" i="79"/>
  <c r="I58" i="79" s="1"/>
  <c r="F58" i="79"/>
  <c r="F57" i="79"/>
  <c r="G57" i="79" s="1"/>
  <c r="I54" i="79"/>
  <c r="G54" i="79"/>
  <c r="K53" i="79"/>
  <c r="G53" i="79"/>
  <c r="I53" i="79" s="1"/>
  <c r="J53" i="79" s="1"/>
  <c r="J52" i="79"/>
  <c r="I52" i="79"/>
  <c r="K52" i="79" s="1"/>
  <c r="G52" i="79"/>
  <c r="G51" i="79"/>
  <c r="I51" i="79" s="1"/>
  <c r="J50" i="79"/>
  <c r="I50" i="79"/>
  <c r="K50" i="79" s="1"/>
  <c r="G50" i="79"/>
  <c r="G49" i="79"/>
  <c r="I49" i="79" s="1"/>
  <c r="J49" i="79" s="1"/>
  <c r="J48" i="79"/>
  <c r="I48" i="79"/>
  <c r="K48" i="79" s="1"/>
  <c r="G48" i="79"/>
  <c r="K47" i="79"/>
  <c r="G47" i="79"/>
  <c r="I47" i="79" s="1"/>
  <c r="J47" i="79" s="1"/>
  <c r="J46" i="79"/>
  <c r="I46" i="79"/>
  <c r="K46" i="79" s="1"/>
  <c r="G46" i="79"/>
  <c r="K45" i="79"/>
  <c r="G45" i="79"/>
  <c r="I45" i="79" s="1"/>
  <c r="J45" i="79" s="1"/>
  <c r="J44" i="79"/>
  <c r="I44" i="79"/>
  <c r="K44" i="79" s="1"/>
  <c r="G44" i="79"/>
  <c r="K43" i="79"/>
  <c r="G43" i="79"/>
  <c r="I43" i="79" s="1"/>
  <c r="J43" i="79" s="1"/>
  <c r="J42" i="79"/>
  <c r="I42" i="79"/>
  <c r="K42" i="79" s="1"/>
  <c r="G42" i="79"/>
  <c r="K41" i="79"/>
  <c r="G41" i="79"/>
  <c r="I41" i="79" s="1"/>
  <c r="J41" i="79" s="1"/>
  <c r="I40" i="79"/>
  <c r="G40" i="79"/>
  <c r="K39" i="79"/>
  <c r="G39" i="79"/>
  <c r="I39" i="79" s="1"/>
  <c r="J39" i="79" s="1"/>
  <c r="I38" i="79"/>
  <c r="G38" i="79"/>
  <c r="K37" i="79"/>
  <c r="G37" i="79"/>
  <c r="I37" i="79" s="1"/>
  <c r="J37" i="79" s="1"/>
  <c r="J36" i="79"/>
  <c r="I36" i="79"/>
  <c r="K36" i="79" s="1"/>
  <c r="F36" i="79"/>
  <c r="G36" i="79" s="1"/>
  <c r="I35" i="79"/>
  <c r="G35" i="79"/>
  <c r="K34" i="79"/>
  <c r="J34" i="79"/>
  <c r="G34" i="79"/>
  <c r="I34" i="79" s="1"/>
  <c r="I33" i="79"/>
  <c r="G33" i="79"/>
  <c r="G32" i="79"/>
  <c r="I32" i="79" s="1"/>
  <c r="I31" i="79"/>
  <c r="G31" i="79"/>
  <c r="K30" i="79"/>
  <c r="J30" i="79"/>
  <c r="G30" i="79"/>
  <c r="I30" i="79" s="1"/>
  <c r="I29" i="79"/>
  <c r="G29" i="79"/>
  <c r="K28" i="79"/>
  <c r="G28" i="79"/>
  <c r="I28" i="79" s="1"/>
  <c r="J28" i="79" s="1"/>
  <c r="I27" i="79"/>
  <c r="G27" i="79"/>
  <c r="K26" i="79"/>
  <c r="J26" i="79"/>
  <c r="G26" i="79"/>
  <c r="I26" i="79" s="1"/>
  <c r="I25" i="79"/>
  <c r="G25" i="79"/>
  <c r="J24" i="79"/>
  <c r="G24" i="79"/>
  <c r="I24" i="79" s="1"/>
  <c r="K24" i="79" s="1"/>
  <c r="I23" i="79"/>
  <c r="G23" i="79"/>
  <c r="G22" i="79"/>
  <c r="I22" i="79" s="1"/>
  <c r="K22" i="79" s="1"/>
  <c r="I21" i="79"/>
  <c r="G21" i="79"/>
  <c r="K20" i="79"/>
  <c r="J20" i="79"/>
  <c r="G20" i="79"/>
  <c r="I20" i="79" s="1"/>
  <c r="I19" i="79"/>
  <c r="G19" i="79"/>
  <c r="K18" i="79"/>
  <c r="G18" i="79"/>
  <c r="I18" i="79" s="1"/>
  <c r="J18" i="79" s="1"/>
  <c r="F18" i="79"/>
  <c r="J17" i="79"/>
  <c r="G17" i="79"/>
  <c r="I17" i="79" s="1"/>
  <c r="K17" i="79" s="1"/>
  <c r="I16" i="79"/>
  <c r="G16" i="79"/>
  <c r="J15" i="79"/>
  <c r="G15" i="79"/>
  <c r="I15" i="79" s="1"/>
  <c r="K15" i="79" s="1"/>
  <c r="I14" i="79"/>
  <c r="G14" i="79"/>
  <c r="G13" i="79"/>
  <c r="D9" i="79"/>
  <c r="K7" i="79"/>
  <c r="F7" i="79"/>
  <c r="C7" i="79"/>
  <c r="F5" i="79"/>
  <c r="C5" i="79"/>
  <c r="F3" i="79"/>
  <c r="C3" i="79"/>
  <c r="R91" i="78"/>
  <c r="R90" i="78"/>
  <c r="R89" i="78"/>
  <c r="R88" i="78"/>
  <c r="R87" i="78"/>
  <c r="R86" i="78"/>
  <c r="R85" i="78"/>
  <c r="R84" i="78"/>
  <c r="R83" i="78"/>
  <c r="R82" i="78"/>
  <c r="R81" i="78"/>
  <c r="R80" i="78"/>
  <c r="R79" i="78"/>
  <c r="R78" i="78"/>
  <c r="R77" i="78"/>
  <c r="R76" i="78"/>
  <c r="R68" i="78"/>
  <c r="R67" i="78"/>
  <c r="R66" i="78"/>
  <c r="R65" i="78"/>
  <c r="R64" i="78"/>
  <c r="R63" i="78"/>
  <c r="R62" i="78"/>
  <c r="R61" i="78"/>
  <c r="R60" i="78"/>
  <c r="R59" i="78"/>
  <c r="R58" i="78"/>
  <c r="R57" i="78"/>
  <c r="R56" i="78"/>
  <c r="R55" i="78"/>
  <c r="R54" i="78"/>
  <c r="R53" i="78"/>
  <c r="R69" i="78" s="1"/>
  <c r="R45" i="78"/>
  <c r="R44" i="78"/>
  <c r="R43" i="78"/>
  <c r="R42" i="78"/>
  <c r="R41" i="78"/>
  <c r="R40" i="78"/>
  <c r="R39" i="78"/>
  <c r="R38" i="78"/>
  <c r="R37" i="78"/>
  <c r="R36" i="78"/>
  <c r="R35" i="78"/>
  <c r="R34" i="78"/>
  <c r="R33" i="78"/>
  <c r="R32" i="78"/>
  <c r="R31" i="78"/>
  <c r="R30" i="78"/>
  <c r="R46" i="78" s="1"/>
  <c r="R22" i="78"/>
  <c r="R21" i="78"/>
  <c r="R20" i="78"/>
  <c r="R19" i="78"/>
  <c r="R18" i="78"/>
  <c r="R17" i="78"/>
  <c r="R16" i="78"/>
  <c r="R15" i="78"/>
  <c r="R14" i="78"/>
  <c r="R13" i="78"/>
  <c r="R12" i="78"/>
  <c r="R11" i="78"/>
  <c r="R10" i="78"/>
  <c r="R9" i="78"/>
  <c r="R8" i="78"/>
  <c r="R7" i="78"/>
  <c r="R23" i="78" s="1"/>
  <c r="N2" i="78"/>
  <c r="H2" i="78"/>
  <c r="R91" i="77"/>
  <c r="R90" i="77"/>
  <c r="R89" i="77"/>
  <c r="R88" i="77"/>
  <c r="R87" i="77"/>
  <c r="R86" i="77"/>
  <c r="R85" i="77"/>
  <c r="R84" i="77"/>
  <c r="R83" i="77"/>
  <c r="R82" i="77"/>
  <c r="R81" i="77"/>
  <c r="R80" i="77"/>
  <c r="R79" i="77"/>
  <c r="R78" i="77"/>
  <c r="R77" i="77"/>
  <c r="R76" i="77"/>
  <c r="R68" i="77"/>
  <c r="R67" i="77"/>
  <c r="R66" i="77"/>
  <c r="R65" i="77"/>
  <c r="R64" i="77"/>
  <c r="R63" i="77"/>
  <c r="R62" i="77"/>
  <c r="R61" i="77"/>
  <c r="R60" i="77"/>
  <c r="R59" i="77"/>
  <c r="R58" i="77"/>
  <c r="R57" i="77"/>
  <c r="R56" i="77"/>
  <c r="R55" i="77"/>
  <c r="R54" i="77"/>
  <c r="R53" i="77"/>
  <c r="R69" i="77" s="1"/>
  <c r="R45" i="77"/>
  <c r="R44" i="77"/>
  <c r="R43" i="77"/>
  <c r="R42" i="77"/>
  <c r="R41" i="77"/>
  <c r="R40" i="77"/>
  <c r="R39" i="77"/>
  <c r="R38" i="77"/>
  <c r="R37" i="77"/>
  <c r="R36" i="77"/>
  <c r="R35" i="77"/>
  <c r="R34" i="77"/>
  <c r="R33" i="77"/>
  <c r="R32" i="77"/>
  <c r="R31" i="77"/>
  <c r="R30" i="77"/>
  <c r="R22" i="77"/>
  <c r="R21" i="77"/>
  <c r="R20" i="77"/>
  <c r="R19" i="77"/>
  <c r="R18" i="77"/>
  <c r="R17" i="77"/>
  <c r="R16" i="77"/>
  <c r="R15" i="77"/>
  <c r="R14" i="77"/>
  <c r="R13" i="77"/>
  <c r="R12" i="77"/>
  <c r="R11" i="77"/>
  <c r="R10" i="77"/>
  <c r="R9" i="77"/>
  <c r="R8" i="77"/>
  <c r="R7" i="77"/>
  <c r="R23" i="77" s="1"/>
  <c r="N2" i="77"/>
  <c r="H2" i="77"/>
  <c r="R45" i="76"/>
  <c r="R44" i="76"/>
  <c r="R43" i="76"/>
  <c r="R42" i="76"/>
  <c r="R41" i="76"/>
  <c r="R40" i="76"/>
  <c r="R39" i="76"/>
  <c r="R38" i="76"/>
  <c r="R37" i="76"/>
  <c r="R36" i="76"/>
  <c r="R35" i="76"/>
  <c r="R34" i="76"/>
  <c r="R33" i="76"/>
  <c r="R32" i="76"/>
  <c r="R31" i="76"/>
  <c r="R30" i="76"/>
  <c r="R22" i="76"/>
  <c r="R21" i="76"/>
  <c r="R20" i="76"/>
  <c r="R19" i="76"/>
  <c r="R18" i="76"/>
  <c r="R17" i="76"/>
  <c r="R16" i="76"/>
  <c r="R15" i="76"/>
  <c r="R14" i="76"/>
  <c r="R13" i="76"/>
  <c r="R12" i="76"/>
  <c r="R11" i="76"/>
  <c r="R10" i="76"/>
  <c r="R9" i="76"/>
  <c r="R8" i="76"/>
  <c r="R7" i="76"/>
  <c r="R23" i="76" s="1"/>
  <c r="R24" i="76" s="1"/>
  <c r="N2" i="76"/>
  <c r="H2" i="76"/>
  <c r="K46" i="75"/>
  <c r="M46" i="75" s="1"/>
  <c r="O45" i="75"/>
  <c r="M45" i="75"/>
  <c r="N45" i="75" s="1"/>
  <c r="K45" i="75"/>
  <c r="N44" i="75"/>
  <c r="M44" i="75"/>
  <c r="O44" i="75" s="1"/>
  <c r="K44" i="75"/>
  <c r="M43" i="75"/>
  <c r="N43" i="75" s="1"/>
  <c r="K43" i="75"/>
  <c r="K42" i="75"/>
  <c r="M42" i="75" s="1"/>
  <c r="O41" i="75"/>
  <c r="M41" i="75"/>
  <c r="N41" i="75" s="1"/>
  <c r="K41" i="75"/>
  <c r="M40" i="75"/>
  <c r="K40" i="75"/>
  <c r="M39" i="75"/>
  <c r="K39" i="75"/>
  <c r="J38" i="75"/>
  <c r="K38" i="75" s="1"/>
  <c r="M38" i="75" s="1"/>
  <c r="N37" i="75"/>
  <c r="J37" i="75"/>
  <c r="K37" i="75" s="1"/>
  <c r="M37" i="75" s="1"/>
  <c r="O37" i="75" s="1"/>
  <c r="J36" i="75"/>
  <c r="K36" i="75" s="1"/>
  <c r="M32" i="75"/>
  <c r="K32" i="75"/>
  <c r="K31" i="75"/>
  <c r="M31" i="75" s="1"/>
  <c r="M30" i="75"/>
  <c r="N30" i="75" s="1"/>
  <c r="K30" i="75"/>
  <c r="J30" i="75"/>
  <c r="M29" i="75"/>
  <c r="K29" i="75"/>
  <c r="J28" i="75"/>
  <c r="K28" i="75" s="1"/>
  <c r="M28" i="75" s="1"/>
  <c r="O27" i="75"/>
  <c r="N27" i="75"/>
  <c r="M27" i="75"/>
  <c r="K27" i="75"/>
  <c r="O26" i="75"/>
  <c r="K26" i="75"/>
  <c r="M26" i="75" s="1"/>
  <c r="N26" i="75" s="1"/>
  <c r="O25" i="75"/>
  <c r="N25" i="75"/>
  <c r="M25" i="75"/>
  <c r="K25" i="75"/>
  <c r="O24" i="75"/>
  <c r="K24" i="75"/>
  <c r="M24" i="75" s="1"/>
  <c r="N24" i="75" s="1"/>
  <c r="O23" i="75"/>
  <c r="N23" i="75"/>
  <c r="M23" i="75"/>
  <c r="K23" i="75"/>
  <c r="K22" i="75"/>
  <c r="M22" i="75" s="1"/>
  <c r="N22" i="75" s="1"/>
  <c r="M21" i="75"/>
  <c r="K21" i="75"/>
  <c r="O20" i="75"/>
  <c r="K20" i="75"/>
  <c r="M20" i="75" s="1"/>
  <c r="N20" i="75" s="1"/>
  <c r="O19" i="75"/>
  <c r="N19" i="75"/>
  <c r="M19" i="75"/>
  <c r="K19" i="75"/>
  <c r="K18" i="75"/>
  <c r="M18" i="75" s="1"/>
  <c r="N18" i="75" s="1"/>
  <c r="O17" i="75"/>
  <c r="N17" i="75"/>
  <c r="M17" i="75"/>
  <c r="K17" i="75"/>
  <c r="O16" i="75"/>
  <c r="K16" i="75"/>
  <c r="M16" i="75" s="1"/>
  <c r="N16" i="75" s="1"/>
  <c r="M15" i="75"/>
  <c r="K15" i="75"/>
  <c r="K14" i="75"/>
  <c r="I12" i="75"/>
  <c r="G12" i="75"/>
  <c r="E12" i="75"/>
  <c r="H12" i="75" s="1"/>
  <c r="E9" i="75"/>
  <c r="O7" i="75"/>
  <c r="H7" i="75"/>
  <c r="D7" i="75"/>
  <c r="H5" i="75"/>
  <c r="D5" i="75"/>
  <c r="H3" i="75"/>
  <c r="D3" i="75"/>
  <c r="M37" i="74"/>
  <c r="K37" i="74"/>
  <c r="O36" i="74"/>
  <c r="M36" i="74"/>
  <c r="N36" i="74" s="1"/>
  <c r="K36" i="74"/>
  <c r="K35" i="74"/>
  <c r="M35" i="74" s="1"/>
  <c r="O34" i="74"/>
  <c r="M34" i="74"/>
  <c r="N34" i="74" s="1"/>
  <c r="K34" i="74"/>
  <c r="M33" i="74"/>
  <c r="O33" i="74" s="1"/>
  <c r="K33" i="74"/>
  <c r="M32" i="74"/>
  <c r="K32" i="74"/>
  <c r="K31" i="74"/>
  <c r="O30" i="74"/>
  <c r="M30" i="74"/>
  <c r="N30" i="74" s="1"/>
  <c r="K30" i="74"/>
  <c r="M29" i="74"/>
  <c r="K29" i="74"/>
  <c r="J29" i="74"/>
  <c r="N28" i="74"/>
  <c r="J28" i="74"/>
  <c r="K28" i="74" s="1"/>
  <c r="M28" i="74" s="1"/>
  <c r="O28" i="74" s="1"/>
  <c r="M27" i="74"/>
  <c r="J27" i="74"/>
  <c r="K27" i="74" s="1"/>
  <c r="O23" i="74"/>
  <c r="M23" i="74"/>
  <c r="N23" i="74" s="1"/>
  <c r="K23" i="74"/>
  <c r="K22" i="74"/>
  <c r="M22" i="74" s="1"/>
  <c r="O21" i="74"/>
  <c r="M21" i="74"/>
  <c r="N21" i="74" s="1"/>
  <c r="K21" i="74"/>
  <c r="K20" i="74"/>
  <c r="M20" i="74" s="1"/>
  <c r="M19" i="74"/>
  <c r="N19" i="74" s="1"/>
  <c r="K19" i="74"/>
  <c r="M18" i="74"/>
  <c r="K18" i="74"/>
  <c r="M17" i="74"/>
  <c r="K17" i="74"/>
  <c r="M16" i="74"/>
  <c r="O16" i="74" s="1"/>
  <c r="K16" i="74"/>
  <c r="O15" i="74"/>
  <c r="M15" i="74"/>
  <c r="N15" i="74" s="1"/>
  <c r="K15" i="74"/>
  <c r="M14" i="74"/>
  <c r="K14" i="74"/>
  <c r="I12" i="74"/>
  <c r="G12" i="74"/>
  <c r="E12" i="74"/>
  <c r="H12" i="74" s="1"/>
  <c r="E9" i="74"/>
  <c r="O7" i="74"/>
  <c r="H7" i="74"/>
  <c r="D7" i="74"/>
  <c r="H5" i="74"/>
  <c r="D5" i="74"/>
  <c r="H3" i="74"/>
  <c r="D3" i="74"/>
  <c r="L62" i="73"/>
  <c r="K62" i="73"/>
  <c r="J62" i="73"/>
  <c r="H62" i="73"/>
  <c r="H61" i="73"/>
  <c r="J61" i="73" s="1"/>
  <c r="J60" i="73"/>
  <c r="H60" i="73"/>
  <c r="L59" i="73"/>
  <c r="H59" i="73"/>
  <c r="J59" i="73" s="1"/>
  <c r="K59" i="73" s="1"/>
  <c r="J58" i="73"/>
  <c r="H58" i="73"/>
  <c r="H57" i="73"/>
  <c r="J57" i="73" s="1"/>
  <c r="L56" i="73"/>
  <c r="K56" i="73"/>
  <c r="J56" i="73"/>
  <c r="H56" i="73"/>
  <c r="L55" i="73"/>
  <c r="H55" i="73"/>
  <c r="J55" i="73" s="1"/>
  <c r="K55" i="73" s="1"/>
  <c r="L54" i="73"/>
  <c r="K54" i="73"/>
  <c r="J54" i="73"/>
  <c r="H54" i="73"/>
  <c r="H53" i="73"/>
  <c r="J53" i="73" s="1"/>
  <c r="J50" i="73"/>
  <c r="K50" i="73" s="1"/>
  <c r="L50" i="73" s="1"/>
  <c r="H50" i="73"/>
  <c r="H49" i="73"/>
  <c r="J49" i="73" s="1"/>
  <c r="K49" i="73" s="1"/>
  <c r="L49" i="73" s="1"/>
  <c r="J48" i="73"/>
  <c r="K48" i="73" s="1"/>
  <c r="L48" i="73" s="1"/>
  <c r="H48" i="73"/>
  <c r="H47" i="73"/>
  <c r="J47" i="73" s="1"/>
  <c r="K47" i="73" s="1"/>
  <c r="L47" i="73" s="1"/>
  <c r="H46" i="73"/>
  <c r="J46" i="73" s="1"/>
  <c r="K46" i="73" s="1"/>
  <c r="L46" i="73" s="1"/>
  <c r="J45" i="73"/>
  <c r="K45" i="73" s="1"/>
  <c r="L45" i="73" s="1"/>
  <c r="H45" i="73"/>
  <c r="H44" i="73"/>
  <c r="J44" i="73" s="1"/>
  <c r="K44" i="73" s="1"/>
  <c r="L44" i="73" s="1"/>
  <c r="J43" i="73"/>
  <c r="K43" i="73" s="1"/>
  <c r="L43" i="73" s="1"/>
  <c r="H43" i="73"/>
  <c r="J42" i="73"/>
  <c r="K42" i="73" s="1"/>
  <c r="L42" i="73" s="1"/>
  <c r="H42" i="73"/>
  <c r="H41" i="73"/>
  <c r="J41" i="73" s="1"/>
  <c r="K41" i="73" s="1"/>
  <c r="L41" i="73" s="1"/>
  <c r="J40" i="73"/>
  <c r="K40" i="73" s="1"/>
  <c r="L40" i="73" s="1"/>
  <c r="H40" i="73"/>
  <c r="H39" i="73"/>
  <c r="J39" i="73" s="1"/>
  <c r="K39" i="73" s="1"/>
  <c r="L39" i="73" s="1"/>
  <c r="H37" i="73"/>
  <c r="J37" i="73" s="1"/>
  <c r="K37" i="73" s="1"/>
  <c r="L37" i="73" s="1"/>
  <c r="H36" i="73"/>
  <c r="J36" i="73" s="1"/>
  <c r="K36" i="73" s="1"/>
  <c r="L36" i="73" s="1"/>
  <c r="J35" i="73"/>
  <c r="K35" i="73" s="1"/>
  <c r="L35" i="73" s="1"/>
  <c r="H35" i="73"/>
  <c r="H33" i="73"/>
  <c r="J33" i="73" s="1"/>
  <c r="K33" i="73" s="1"/>
  <c r="L33" i="73" s="1"/>
  <c r="G33" i="73"/>
  <c r="G32" i="73"/>
  <c r="H32" i="73" s="1"/>
  <c r="J32" i="73" s="1"/>
  <c r="K32" i="73" s="1"/>
  <c r="L32" i="73" s="1"/>
  <c r="K31" i="73"/>
  <c r="L31" i="73" s="1"/>
  <c r="J31" i="73"/>
  <c r="H30" i="73"/>
  <c r="J30" i="73" s="1"/>
  <c r="K30" i="73" s="1"/>
  <c r="L30" i="73" s="1"/>
  <c r="K29" i="73"/>
  <c r="L29" i="73" s="1"/>
  <c r="J29" i="73"/>
  <c r="H29" i="73"/>
  <c r="K28" i="73"/>
  <c r="L28" i="73" s="1"/>
  <c r="J28" i="73"/>
  <c r="H28" i="73"/>
  <c r="J27" i="73"/>
  <c r="K27" i="73" s="1"/>
  <c r="L27" i="73" s="1"/>
  <c r="H27" i="73"/>
  <c r="J26" i="73"/>
  <c r="K26" i="73" s="1"/>
  <c r="L26" i="73" s="1"/>
  <c r="H26" i="73"/>
  <c r="K25" i="73"/>
  <c r="L25" i="73" s="1"/>
  <c r="J25" i="73"/>
  <c r="H25" i="73"/>
  <c r="K24" i="73"/>
  <c r="L24" i="73" s="1"/>
  <c r="K23" i="73"/>
  <c r="L23" i="73" s="1"/>
  <c r="G23" i="73"/>
  <c r="H23" i="73" s="1"/>
  <c r="J23" i="73" s="1"/>
  <c r="H22" i="73"/>
  <c r="J22" i="73" s="1"/>
  <c r="K22" i="73" s="1"/>
  <c r="L22" i="73" s="1"/>
  <c r="G22" i="73"/>
  <c r="K21" i="73"/>
  <c r="L21" i="73" s="1"/>
  <c r="J21" i="73"/>
  <c r="H21" i="73"/>
  <c r="G21" i="73"/>
  <c r="G20" i="73"/>
  <c r="H20" i="73" s="1"/>
  <c r="J20" i="73" s="1"/>
  <c r="K20" i="73" s="1"/>
  <c r="L20" i="73" s="1"/>
  <c r="G19" i="73"/>
  <c r="H19" i="73" s="1"/>
  <c r="J19" i="73" s="1"/>
  <c r="K19" i="73" s="1"/>
  <c r="L19" i="73" s="1"/>
  <c r="H18" i="73"/>
  <c r="J18" i="73" s="1"/>
  <c r="K18" i="73" s="1"/>
  <c r="L18" i="73" s="1"/>
  <c r="G18" i="73"/>
  <c r="H17" i="73"/>
  <c r="J17" i="73" s="1"/>
  <c r="K17" i="73" s="1"/>
  <c r="L17" i="73" s="1"/>
  <c r="G17" i="73"/>
  <c r="G16" i="73"/>
  <c r="H16" i="73" s="1"/>
  <c r="J16" i="73" s="1"/>
  <c r="K16" i="73" s="1"/>
  <c r="L16" i="73" s="1"/>
  <c r="H15" i="73"/>
  <c r="G15" i="73"/>
  <c r="D9" i="73"/>
  <c r="L7" i="73"/>
  <c r="G7" i="73"/>
  <c r="C7" i="73"/>
  <c r="G5" i="73"/>
  <c r="C5" i="73"/>
  <c r="G3" i="73"/>
  <c r="C3" i="73"/>
  <c r="L61" i="72"/>
  <c r="J61" i="72"/>
  <c r="K61" i="72" s="1"/>
  <c r="H61" i="72"/>
  <c r="L60" i="72"/>
  <c r="K60" i="72"/>
  <c r="J60" i="72"/>
  <c r="H60" i="72"/>
  <c r="L59" i="72"/>
  <c r="J59" i="72"/>
  <c r="K59" i="72" s="1"/>
  <c r="H59" i="72"/>
  <c r="L58" i="72"/>
  <c r="K58" i="72"/>
  <c r="J58" i="72"/>
  <c r="H58" i="72"/>
  <c r="L57" i="72"/>
  <c r="J57" i="72"/>
  <c r="K57" i="72" s="1"/>
  <c r="H57" i="72"/>
  <c r="L56" i="72"/>
  <c r="K56" i="72"/>
  <c r="J56" i="72"/>
  <c r="H56" i="72"/>
  <c r="L55" i="72"/>
  <c r="J55" i="72"/>
  <c r="K55" i="72" s="1"/>
  <c r="H55" i="72"/>
  <c r="L54" i="72"/>
  <c r="K54" i="72"/>
  <c r="J54" i="72"/>
  <c r="H54" i="72"/>
  <c r="L53" i="72"/>
  <c r="L51" i="72" s="1"/>
  <c r="J53" i="72"/>
  <c r="K53" i="72" s="1"/>
  <c r="H53" i="72"/>
  <c r="L52" i="72"/>
  <c r="K52" i="72"/>
  <c r="J52" i="72"/>
  <c r="H52" i="72"/>
  <c r="J51" i="72"/>
  <c r="H51" i="72"/>
  <c r="I51" i="72" s="1"/>
  <c r="L49" i="72"/>
  <c r="H49" i="72"/>
  <c r="J49" i="72" s="1"/>
  <c r="K49" i="72" s="1"/>
  <c r="H48" i="72"/>
  <c r="J48" i="72" s="1"/>
  <c r="K48" i="72" s="1"/>
  <c r="L48" i="72" s="1"/>
  <c r="H47" i="72"/>
  <c r="J47" i="72" s="1"/>
  <c r="K47" i="72" s="1"/>
  <c r="L47" i="72" s="1"/>
  <c r="H46" i="72"/>
  <c r="J46" i="72" s="1"/>
  <c r="K46" i="72" s="1"/>
  <c r="L46" i="72" s="1"/>
  <c r="H45" i="72"/>
  <c r="J45" i="72" s="1"/>
  <c r="K45" i="72" s="1"/>
  <c r="L45" i="72" s="1"/>
  <c r="S44" i="72"/>
  <c r="K44" i="72"/>
  <c r="L44" i="72" s="1"/>
  <c r="J44" i="72"/>
  <c r="H44" i="72"/>
  <c r="S43" i="72"/>
  <c r="J43" i="72"/>
  <c r="K43" i="72" s="1"/>
  <c r="L43" i="72" s="1"/>
  <c r="H43" i="72"/>
  <c r="S42" i="72"/>
  <c r="L42" i="72"/>
  <c r="K42" i="72"/>
  <c r="J42" i="72"/>
  <c r="H42" i="72"/>
  <c r="S41" i="72"/>
  <c r="H41" i="72"/>
  <c r="J41" i="72" s="1"/>
  <c r="K41" i="72" s="1"/>
  <c r="L41" i="72" s="1"/>
  <c r="S40" i="72"/>
  <c r="H40" i="72"/>
  <c r="J40" i="72" s="1"/>
  <c r="K40" i="72" s="1"/>
  <c r="L40" i="72" s="1"/>
  <c r="S39" i="72"/>
  <c r="J39" i="72"/>
  <c r="K39" i="72" s="1"/>
  <c r="L39" i="72" s="1"/>
  <c r="H39" i="72"/>
  <c r="S38" i="72"/>
  <c r="H38" i="72"/>
  <c r="J38" i="72" s="1"/>
  <c r="K38" i="72" s="1"/>
  <c r="L38" i="72" s="1"/>
  <c r="K36" i="72"/>
  <c r="L36" i="72" s="1"/>
  <c r="J36" i="72"/>
  <c r="H36" i="72"/>
  <c r="K35" i="72"/>
  <c r="L35" i="72" s="1"/>
  <c r="H35" i="72"/>
  <c r="J35" i="72" s="1"/>
  <c r="K34" i="72"/>
  <c r="L34" i="72" s="1"/>
  <c r="J34" i="72"/>
  <c r="H34" i="72"/>
  <c r="H32" i="72"/>
  <c r="J32" i="72" s="1"/>
  <c r="K32" i="72" s="1"/>
  <c r="L32" i="72" s="1"/>
  <c r="G32" i="72"/>
  <c r="K31" i="72"/>
  <c r="L31" i="72" s="1"/>
  <c r="H31" i="72"/>
  <c r="J31" i="72" s="1"/>
  <c r="G31" i="72"/>
  <c r="J30" i="72"/>
  <c r="K30" i="72" s="1"/>
  <c r="L30" i="72" s="1"/>
  <c r="J29" i="72"/>
  <c r="K29" i="72" s="1"/>
  <c r="L29" i="72" s="1"/>
  <c r="H29" i="72"/>
  <c r="J28" i="72"/>
  <c r="K28" i="72" s="1"/>
  <c r="L28" i="72" s="1"/>
  <c r="H28" i="72"/>
  <c r="K27" i="72"/>
  <c r="L27" i="72" s="1"/>
  <c r="J27" i="72"/>
  <c r="H27" i="72"/>
  <c r="J26" i="72"/>
  <c r="K26" i="72" s="1"/>
  <c r="L26" i="72" s="1"/>
  <c r="H26" i="72"/>
  <c r="H25" i="72"/>
  <c r="J25" i="72" s="1"/>
  <c r="K25" i="72" s="1"/>
  <c r="L25" i="72" s="1"/>
  <c r="J24" i="72"/>
  <c r="K24" i="72" s="1"/>
  <c r="L24" i="72" s="1"/>
  <c r="H24" i="72"/>
  <c r="L23" i="72"/>
  <c r="J23" i="72"/>
  <c r="K23" i="72" s="1"/>
  <c r="G22" i="72"/>
  <c r="H22" i="72" s="1"/>
  <c r="J22" i="72" s="1"/>
  <c r="K22" i="72" s="1"/>
  <c r="L22" i="72" s="1"/>
  <c r="J21" i="72"/>
  <c r="K21" i="72" s="1"/>
  <c r="L21" i="72" s="1"/>
  <c r="H21" i="72"/>
  <c r="G21" i="72"/>
  <c r="H20" i="72"/>
  <c r="J19" i="72"/>
  <c r="K19" i="72" s="1"/>
  <c r="L19" i="72" s="1"/>
  <c r="H19" i="72"/>
  <c r="H18" i="72"/>
  <c r="J18" i="72" s="1"/>
  <c r="K18" i="72" s="1"/>
  <c r="L18" i="72" s="1"/>
  <c r="L17" i="72"/>
  <c r="K17" i="72"/>
  <c r="J17" i="72"/>
  <c r="H17" i="72"/>
  <c r="J16" i="72"/>
  <c r="K16" i="72" s="1"/>
  <c r="L16" i="72" s="1"/>
  <c r="H16" i="72"/>
  <c r="K15" i="72"/>
  <c r="J15" i="72"/>
  <c r="H15" i="72"/>
  <c r="G15" i="72"/>
  <c r="D9" i="72"/>
  <c r="L7" i="72"/>
  <c r="G7" i="72"/>
  <c r="C7" i="72"/>
  <c r="G5" i="72"/>
  <c r="C5" i="72"/>
  <c r="G3" i="72"/>
  <c r="C3" i="72"/>
  <c r="G55" i="71"/>
  <c r="I55" i="71" s="1"/>
  <c r="I54" i="71"/>
  <c r="G54" i="71"/>
  <c r="G53" i="71"/>
  <c r="I53" i="71" s="1"/>
  <c r="K53" i="71" s="1"/>
  <c r="G52" i="71"/>
  <c r="I52" i="71" s="1"/>
  <c r="G51" i="71"/>
  <c r="I51" i="71" s="1"/>
  <c r="J51" i="71" s="1"/>
  <c r="F51" i="71"/>
  <c r="F50" i="71"/>
  <c r="G50" i="71" s="1"/>
  <c r="I50" i="71" s="1"/>
  <c r="F49" i="71"/>
  <c r="G49" i="71" s="1"/>
  <c r="I49" i="71" s="1"/>
  <c r="F48" i="71"/>
  <c r="G48" i="71" s="1"/>
  <c r="I48" i="71" s="1"/>
  <c r="F47" i="71"/>
  <c r="G47" i="71" s="1"/>
  <c r="J46" i="71"/>
  <c r="I46" i="71"/>
  <c r="K46" i="71" s="1"/>
  <c r="G46" i="71"/>
  <c r="F46" i="71"/>
  <c r="I45" i="71"/>
  <c r="F45" i="71"/>
  <c r="G45" i="71" s="1"/>
  <c r="F44" i="71"/>
  <c r="G44" i="71" s="1"/>
  <c r="I44" i="71" s="1"/>
  <c r="G41" i="71"/>
  <c r="I41" i="71" s="1"/>
  <c r="K40" i="71"/>
  <c r="J40" i="71"/>
  <c r="I40" i="71"/>
  <c r="G40" i="71"/>
  <c r="F40" i="71"/>
  <c r="G39" i="71"/>
  <c r="I39" i="71" s="1"/>
  <c r="F39" i="71"/>
  <c r="G38" i="71"/>
  <c r="I38" i="71" s="1"/>
  <c r="F38" i="71"/>
  <c r="G37" i="71"/>
  <c r="I37" i="71" s="1"/>
  <c r="F36" i="71"/>
  <c r="G36" i="71" s="1"/>
  <c r="I36" i="71" s="1"/>
  <c r="J35" i="71"/>
  <c r="I35" i="71"/>
  <c r="K35" i="71" s="1"/>
  <c r="G35" i="71"/>
  <c r="F35" i="71"/>
  <c r="I34" i="71"/>
  <c r="G34" i="71"/>
  <c r="K33" i="71"/>
  <c r="J33" i="71"/>
  <c r="I33" i="71"/>
  <c r="G33" i="71"/>
  <c r="I32" i="71"/>
  <c r="G32" i="71"/>
  <c r="K31" i="71"/>
  <c r="F31" i="71"/>
  <c r="G31" i="71" s="1"/>
  <c r="I31" i="71" s="1"/>
  <c r="J31" i="71" s="1"/>
  <c r="G30" i="71"/>
  <c r="I30" i="71" s="1"/>
  <c r="F30" i="71"/>
  <c r="F29" i="71"/>
  <c r="G29" i="71" s="1"/>
  <c r="I29" i="71" s="1"/>
  <c r="K28" i="71"/>
  <c r="J28" i="71"/>
  <c r="I28" i="71"/>
  <c r="G28" i="71"/>
  <c r="F28" i="71"/>
  <c r="G27" i="71"/>
  <c r="I27" i="71" s="1"/>
  <c r="F27" i="71"/>
  <c r="G26" i="71"/>
  <c r="I26" i="71" s="1"/>
  <c r="F26" i="71"/>
  <c r="G25" i="71"/>
  <c r="I25" i="71" s="1"/>
  <c r="F25" i="71"/>
  <c r="F24" i="71"/>
  <c r="G24" i="71" s="1"/>
  <c r="I24" i="71" s="1"/>
  <c r="F23" i="71"/>
  <c r="G23" i="71" s="1"/>
  <c r="I22" i="71"/>
  <c r="F22" i="71"/>
  <c r="G22" i="71" s="1"/>
  <c r="F21" i="71"/>
  <c r="G21" i="71" s="1"/>
  <c r="I21" i="71" s="1"/>
  <c r="I20" i="71"/>
  <c r="G20" i="71"/>
  <c r="F20" i="71"/>
  <c r="I19" i="71"/>
  <c r="G19" i="71"/>
  <c r="F19" i="71"/>
  <c r="K18" i="71"/>
  <c r="G18" i="71"/>
  <c r="I18" i="71" s="1"/>
  <c r="J18" i="71" s="1"/>
  <c r="J17" i="71"/>
  <c r="I17" i="71"/>
  <c r="J16" i="71"/>
  <c r="I16" i="71"/>
  <c r="K16" i="71" s="1"/>
  <c r="G16" i="71"/>
  <c r="F16" i="71"/>
  <c r="F15" i="71"/>
  <c r="G15" i="71" s="1"/>
  <c r="I15" i="71" s="1"/>
  <c r="F14" i="71"/>
  <c r="G14" i="71" s="1"/>
  <c r="D10" i="71"/>
  <c r="K7" i="71"/>
  <c r="F7" i="71"/>
  <c r="C7" i="71"/>
  <c r="F5" i="71"/>
  <c r="C5" i="71"/>
  <c r="F3" i="71"/>
  <c r="C3" i="71"/>
  <c r="J66" i="70"/>
  <c r="C73" i="70" s="1"/>
  <c r="I66" i="70"/>
  <c r="K66" i="70" s="1"/>
  <c r="G66" i="70"/>
  <c r="K65" i="70"/>
  <c r="G65" i="70"/>
  <c r="I65" i="70" s="1"/>
  <c r="J65" i="70" s="1"/>
  <c r="G64" i="70"/>
  <c r="I64" i="70" s="1"/>
  <c r="K63" i="70"/>
  <c r="G63" i="70"/>
  <c r="I63" i="70" s="1"/>
  <c r="J63" i="70" s="1"/>
  <c r="K62" i="70"/>
  <c r="I62" i="70"/>
  <c r="J62" i="70" s="1"/>
  <c r="G62" i="70"/>
  <c r="G61" i="70"/>
  <c r="I61" i="70" s="1"/>
  <c r="I60" i="70"/>
  <c r="G60" i="70"/>
  <c r="K59" i="70"/>
  <c r="G59" i="70"/>
  <c r="I59" i="70" s="1"/>
  <c r="J59" i="70" s="1"/>
  <c r="F58" i="70"/>
  <c r="G58" i="70" s="1"/>
  <c r="I58" i="70" s="1"/>
  <c r="K58" i="70" s="1"/>
  <c r="G57" i="70"/>
  <c r="F57" i="70"/>
  <c r="K54" i="70"/>
  <c r="I54" i="70"/>
  <c r="J54" i="70" s="1"/>
  <c r="O54" i="70" s="1"/>
  <c r="G54" i="70"/>
  <c r="I53" i="70"/>
  <c r="G53" i="70"/>
  <c r="K52" i="70"/>
  <c r="I52" i="70"/>
  <c r="J52" i="70" s="1"/>
  <c r="O52" i="70" s="1"/>
  <c r="G52" i="70"/>
  <c r="J51" i="70"/>
  <c r="O51" i="70" s="1"/>
  <c r="I51" i="70"/>
  <c r="K51" i="70" s="1"/>
  <c r="G51" i="70"/>
  <c r="O50" i="70"/>
  <c r="G50" i="70"/>
  <c r="I50" i="70" s="1"/>
  <c r="J50" i="70" s="1"/>
  <c r="J49" i="70"/>
  <c r="P49" i="70" s="1"/>
  <c r="I49" i="70"/>
  <c r="K49" i="70" s="1"/>
  <c r="G49" i="70"/>
  <c r="G48" i="70"/>
  <c r="I48" i="70" s="1"/>
  <c r="K48" i="70" s="1"/>
  <c r="K47" i="70"/>
  <c r="J47" i="70"/>
  <c r="P47" i="70" s="1"/>
  <c r="I47" i="70"/>
  <c r="G47" i="70"/>
  <c r="G46" i="70"/>
  <c r="I46" i="70" s="1"/>
  <c r="I45" i="70"/>
  <c r="G45" i="70"/>
  <c r="P44" i="70"/>
  <c r="J44" i="70"/>
  <c r="I44" i="70"/>
  <c r="K44" i="70" s="1"/>
  <c r="G44" i="70"/>
  <c r="K43" i="70"/>
  <c r="G43" i="70"/>
  <c r="I43" i="70" s="1"/>
  <c r="J43" i="70" s="1"/>
  <c r="P43" i="70" s="1"/>
  <c r="K42" i="70"/>
  <c r="G42" i="70"/>
  <c r="I42" i="70" s="1"/>
  <c r="J42" i="70" s="1"/>
  <c r="P42" i="70" s="1"/>
  <c r="G41" i="70"/>
  <c r="I41" i="70" s="1"/>
  <c r="J41" i="70" s="1"/>
  <c r="P41" i="70" s="1"/>
  <c r="I40" i="70"/>
  <c r="K40" i="70" s="1"/>
  <c r="G40" i="70"/>
  <c r="K39" i="70"/>
  <c r="J39" i="70"/>
  <c r="N39" i="70" s="1"/>
  <c r="I39" i="70"/>
  <c r="G39" i="70"/>
  <c r="G38" i="70"/>
  <c r="I38" i="70" s="1"/>
  <c r="G37" i="70"/>
  <c r="I37" i="70" s="1"/>
  <c r="K36" i="70"/>
  <c r="I36" i="70"/>
  <c r="J36" i="70" s="1"/>
  <c r="N36" i="70" s="1"/>
  <c r="G36" i="70"/>
  <c r="F36" i="70"/>
  <c r="K35" i="70"/>
  <c r="I35" i="70"/>
  <c r="J35" i="70" s="1"/>
  <c r="N35" i="70" s="1"/>
  <c r="G35" i="70"/>
  <c r="I34" i="70"/>
  <c r="G34" i="70"/>
  <c r="K33" i="70"/>
  <c r="I33" i="70"/>
  <c r="J33" i="70" s="1"/>
  <c r="N33" i="70" s="1"/>
  <c r="G33" i="70"/>
  <c r="J32" i="70"/>
  <c r="N32" i="70" s="1"/>
  <c r="I32" i="70"/>
  <c r="K32" i="70" s="1"/>
  <c r="G32" i="70"/>
  <c r="N31" i="70"/>
  <c r="G31" i="70"/>
  <c r="I31" i="70" s="1"/>
  <c r="J31" i="70" s="1"/>
  <c r="J30" i="70"/>
  <c r="N30" i="70" s="1"/>
  <c r="I30" i="70"/>
  <c r="K30" i="70" s="1"/>
  <c r="G30" i="70"/>
  <c r="G29" i="70"/>
  <c r="I29" i="70" s="1"/>
  <c r="K29" i="70" s="1"/>
  <c r="J28" i="70"/>
  <c r="N28" i="70" s="1"/>
  <c r="F28" i="70"/>
  <c r="G28" i="70" s="1"/>
  <c r="I28" i="70" s="1"/>
  <c r="K28" i="70" s="1"/>
  <c r="K27" i="70"/>
  <c r="I27" i="70"/>
  <c r="J27" i="70" s="1"/>
  <c r="N27" i="70" s="1"/>
  <c r="G27" i="70"/>
  <c r="F27" i="70"/>
  <c r="G26" i="70"/>
  <c r="I26" i="70" s="1"/>
  <c r="J26" i="70" s="1"/>
  <c r="N26" i="70" s="1"/>
  <c r="F26" i="70"/>
  <c r="F25" i="70"/>
  <c r="G25" i="70" s="1"/>
  <c r="I25" i="70" s="1"/>
  <c r="K24" i="70"/>
  <c r="J24" i="70"/>
  <c r="M24" i="70" s="1"/>
  <c r="I24" i="70"/>
  <c r="G24" i="70"/>
  <c r="J23" i="70"/>
  <c r="M23" i="70" s="1"/>
  <c r="I23" i="70"/>
  <c r="K23" i="70" s="1"/>
  <c r="G23" i="70"/>
  <c r="G22" i="70"/>
  <c r="I22" i="70" s="1"/>
  <c r="J21" i="70"/>
  <c r="M21" i="70" s="1"/>
  <c r="I21" i="70"/>
  <c r="K21" i="70" s="1"/>
  <c r="G21" i="70"/>
  <c r="K20" i="70"/>
  <c r="I20" i="70"/>
  <c r="J20" i="70" s="1"/>
  <c r="M20" i="70" s="1"/>
  <c r="G20" i="70"/>
  <c r="K19" i="70"/>
  <c r="G19" i="70"/>
  <c r="I19" i="70" s="1"/>
  <c r="J19" i="70" s="1"/>
  <c r="M19" i="70" s="1"/>
  <c r="F19" i="70"/>
  <c r="M18" i="70"/>
  <c r="J18" i="70"/>
  <c r="I18" i="70"/>
  <c r="K18" i="70" s="1"/>
  <c r="G18" i="70"/>
  <c r="F18" i="70"/>
  <c r="G17" i="70"/>
  <c r="I17" i="70" s="1"/>
  <c r="G16" i="70"/>
  <c r="I16" i="70" s="1"/>
  <c r="K15" i="70"/>
  <c r="J15" i="70"/>
  <c r="M15" i="70" s="1"/>
  <c r="I15" i="70"/>
  <c r="G15" i="70"/>
  <c r="F15" i="70"/>
  <c r="G14" i="70"/>
  <c r="I14" i="70" s="1"/>
  <c r="F14" i="70"/>
  <c r="F13" i="70"/>
  <c r="G13" i="70" s="1"/>
  <c r="D9" i="70"/>
  <c r="K7" i="70"/>
  <c r="F7" i="70"/>
  <c r="C7" i="70"/>
  <c r="F5" i="70"/>
  <c r="C5" i="70"/>
  <c r="F3" i="70"/>
  <c r="C3" i="70"/>
  <c r="K66" i="69"/>
  <c r="I66" i="69"/>
  <c r="J66" i="69" s="1"/>
  <c r="G66" i="69"/>
  <c r="G65" i="69"/>
  <c r="I65" i="69" s="1"/>
  <c r="I64" i="69"/>
  <c r="G64" i="69"/>
  <c r="I63" i="69"/>
  <c r="G63" i="69"/>
  <c r="J62" i="69"/>
  <c r="I62" i="69"/>
  <c r="K62" i="69" s="1"/>
  <c r="G62" i="69"/>
  <c r="I61" i="69"/>
  <c r="G61" i="69"/>
  <c r="G60" i="69"/>
  <c r="I60" i="69" s="1"/>
  <c r="F59" i="69"/>
  <c r="G59" i="69" s="1"/>
  <c r="I59" i="69" s="1"/>
  <c r="K58" i="69"/>
  <c r="J58" i="69"/>
  <c r="I58" i="69"/>
  <c r="G58" i="69"/>
  <c r="F58" i="69"/>
  <c r="I57" i="69"/>
  <c r="F57" i="69"/>
  <c r="G57" i="69" s="1"/>
  <c r="G56" i="69" s="1"/>
  <c r="H56" i="69" s="1"/>
  <c r="I54" i="69"/>
  <c r="G54" i="69"/>
  <c r="I53" i="69"/>
  <c r="G53" i="69"/>
  <c r="J52" i="69"/>
  <c r="I52" i="69"/>
  <c r="K52" i="69" s="1"/>
  <c r="G52" i="69"/>
  <c r="I51" i="69"/>
  <c r="G51" i="69"/>
  <c r="G50" i="69"/>
  <c r="I50" i="69" s="1"/>
  <c r="I49" i="69"/>
  <c r="G49" i="69"/>
  <c r="K48" i="69"/>
  <c r="I48" i="69"/>
  <c r="J48" i="69" s="1"/>
  <c r="G48" i="69"/>
  <c r="G47" i="69"/>
  <c r="I47" i="69" s="1"/>
  <c r="I46" i="69"/>
  <c r="G46" i="69"/>
  <c r="I45" i="69"/>
  <c r="G45" i="69"/>
  <c r="J44" i="69"/>
  <c r="I44" i="69"/>
  <c r="K44" i="69" s="1"/>
  <c r="G44" i="69"/>
  <c r="I43" i="69"/>
  <c r="G43" i="69"/>
  <c r="G42" i="69"/>
  <c r="I42" i="69" s="1"/>
  <c r="I41" i="69"/>
  <c r="G41" i="69"/>
  <c r="K40" i="69"/>
  <c r="I40" i="69"/>
  <c r="J40" i="69" s="1"/>
  <c r="G40" i="69"/>
  <c r="G39" i="69"/>
  <c r="I39" i="69" s="1"/>
  <c r="I38" i="69"/>
  <c r="G38" i="69"/>
  <c r="I37" i="69"/>
  <c r="G37" i="69"/>
  <c r="J36" i="69"/>
  <c r="I36" i="69"/>
  <c r="K36" i="69" s="1"/>
  <c r="G36" i="69"/>
  <c r="F36" i="69"/>
  <c r="I35" i="69"/>
  <c r="K35" i="69" s="1"/>
  <c r="G35" i="69"/>
  <c r="J34" i="69"/>
  <c r="I34" i="69"/>
  <c r="K34" i="69" s="1"/>
  <c r="G34" i="69"/>
  <c r="J33" i="69"/>
  <c r="G33" i="69"/>
  <c r="I33" i="69" s="1"/>
  <c r="K33" i="69" s="1"/>
  <c r="I32" i="69"/>
  <c r="G32" i="69"/>
  <c r="I31" i="69"/>
  <c r="G31" i="69"/>
  <c r="K30" i="69"/>
  <c r="I30" i="69"/>
  <c r="J30" i="69" s="1"/>
  <c r="G30" i="69"/>
  <c r="G29" i="69"/>
  <c r="I29" i="69" s="1"/>
  <c r="J28" i="69"/>
  <c r="I28" i="69"/>
  <c r="K28" i="69" s="1"/>
  <c r="G28" i="69"/>
  <c r="J27" i="69"/>
  <c r="I27" i="69"/>
  <c r="K27" i="69" s="1"/>
  <c r="G27" i="69"/>
  <c r="K26" i="69"/>
  <c r="I26" i="69"/>
  <c r="J26" i="69" s="1"/>
  <c r="G26" i="69"/>
  <c r="I25" i="69"/>
  <c r="G25" i="69"/>
  <c r="K24" i="69"/>
  <c r="J24" i="69"/>
  <c r="I24" i="69"/>
  <c r="G24" i="69"/>
  <c r="G23" i="69"/>
  <c r="I22" i="69"/>
  <c r="G22" i="69"/>
  <c r="G21" i="69"/>
  <c r="I21" i="69" s="1"/>
  <c r="K20" i="69"/>
  <c r="J20" i="69"/>
  <c r="I20" i="69"/>
  <c r="G20" i="69"/>
  <c r="I19" i="69"/>
  <c r="K19" i="69" s="1"/>
  <c r="G19" i="69"/>
  <c r="J18" i="69"/>
  <c r="I18" i="69"/>
  <c r="K18" i="69" s="1"/>
  <c r="G18" i="69"/>
  <c r="F18" i="69"/>
  <c r="G17" i="69"/>
  <c r="I17" i="69" s="1"/>
  <c r="K16" i="69"/>
  <c r="J16" i="69"/>
  <c r="I16" i="69"/>
  <c r="G16" i="69"/>
  <c r="G15" i="69"/>
  <c r="I15" i="69" s="1"/>
  <c r="K14" i="69"/>
  <c r="J14" i="69"/>
  <c r="I14" i="69"/>
  <c r="G14" i="69"/>
  <c r="G13" i="69"/>
  <c r="I13" i="69" s="1"/>
  <c r="D9" i="69"/>
  <c r="K7" i="69"/>
  <c r="F7" i="69"/>
  <c r="C7" i="69"/>
  <c r="F5" i="69"/>
  <c r="C5" i="69"/>
  <c r="F3" i="69"/>
  <c r="C3" i="69"/>
  <c r="R91" i="68"/>
  <c r="R90" i="68"/>
  <c r="R89" i="68"/>
  <c r="R88" i="68"/>
  <c r="R87" i="68"/>
  <c r="R86" i="68"/>
  <c r="R85" i="68"/>
  <c r="R84" i="68"/>
  <c r="R83" i="68"/>
  <c r="R82" i="68"/>
  <c r="R81" i="68"/>
  <c r="R80" i="68"/>
  <c r="R79" i="68"/>
  <c r="R78" i="68"/>
  <c r="R77" i="68"/>
  <c r="R76" i="68"/>
  <c r="R68" i="68"/>
  <c r="R67" i="68"/>
  <c r="R66" i="68"/>
  <c r="R65" i="68"/>
  <c r="R64" i="68"/>
  <c r="R63" i="68"/>
  <c r="R62" i="68"/>
  <c r="R61" i="68"/>
  <c r="R60" i="68"/>
  <c r="R59" i="68"/>
  <c r="R58" i="68"/>
  <c r="R57" i="68"/>
  <c r="R56" i="68"/>
  <c r="R55" i="68"/>
  <c r="R54" i="68"/>
  <c r="R53" i="68"/>
  <c r="R69" i="68" s="1"/>
  <c r="R45" i="68"/>
  <c r="R44" i="68"/>
  <c r="R43" i="68"/>
  <c r="R42" i="68"/>
  <c r="R41" i="68"/>
  <c r="R40" i="68"/>
  <c r="R39" i="68"/>
  <c r="R38" i="68"/>
  <c r="R37" i="68"/>
  <c r="R36" i="68"/>
  <c r="R35" i="68"/>
  <c r="R34" i="68"/>
  <c r="R33" i="68"/>
  <c r="R32" i="68"/>
  <c r="R31" i="68"/>
  <c r="R30" i="68"/>
  <c r="R22" i="68"/>
  <c r="R21" i="68"/>
  <c r="R20" i="68"/>
  <c r="R19" i="68"/>
  <c r="R18" i="68"/>
  <c r="R17" i="68"/>
  <c r="R16" i="68"/>
  <c r="R15" i="68"/>
  <c r="R14" i="68"/>
  <c r="R13" i="68"/>
  <c r="R12" i="68"/>
  <c r="R11" i="68"/>
  <c r="R10" i="68"/>
  <c r="R9" i="68"/>
  <c r="R8" i="68"/>
  <c r="R7" i="68"/>
  <c r="N2" i="68"/>
  <c r="H2" i="68"/>
  <c r="R91" i="67"/>
  <c r="R90" i="67"/>
  <c r="R89" i="67"/>
  <c r="R88" i="67"/>
  <c r="R87" i="67"/>
  <c r="R86" i="67"/>
  <c r="R85" i="67"/>
  <c r="R84" i="67"/>
  <c r="R83" i="67"/>
  <c r="R82" i="67"/>
  <c r="R81" i="67"/>
  <c r="R80" i="67"/>
  <c r="R79" i="67"/>
  <c r="R78" i="67"/>
  <c r="R77" i="67"/>
  <c r="R76" i="67"/>
  <c r="R92" i="67" s="1"/>
  <c r="R68" i="67"/>
  <c r="R67" i="67"/>
  <c r="R66" i="67"/>
  <c r="R65" i="67"/>
  <c r="R64" i="67"/>
  <c r="R63" i="67"/>
  <c r="R62" i="67"/>
  <c r="R61" i="67"/>
  <c r="R60" i="67"/>
  <c r="R59" i="67"/>
  <c r="R58" i="67"/>
  <c r="R57" i="67"/>
  <c r="R56" i="67"/>
  <c r="R55" i="67"/>
  <c r="R54" i="67"/>
  <c r="R53" i="67"/>
  <c r="R69" i="67" s="1"/>
  <c r="R45" i="67"/>
  <c r="R44" i="67"/>
  <c r="R43" i="67"/>
  <c r="R42" i="67"/>
  <c r="R41" i="67"/>
  <c r="R40" i="67"/>
  <c r="R39" i="67"/>
  <c r="R38" i="67"/>
  <c r="R37" i="67"/>
  <c r="R36" i="67"/>
  <c r="R35" i="67"/>
  <c r="R34" i="67"/>
  <c r="R33" i="67"/>
  <c r="R32" i="67"/>
  <c r="R31" i="67"/>
  <c r="R30" i="67"/>
  <c r="R22" i="67"/>
  <c r="R21" i="67"/>
  <c r="R20" i="67"/>
  <c r="R19" i="67"/>
  <c r="R18" i="67"/>
  <c r="R17" i="67"/>
  <c r="R16" i="67"/>
  <c r="R15" i="67"/>
  <c r="R14" i="67"/>
  <c r="R13" i="67"/>
  <c r="R12" i="67"/>
  <c r="R11" i="67"/>
  <c r="R10" i="67"/>
  <c r="R9" i="67"/>
  <c r="R8" i="67"/>
  <c r="R7" i="67"/>
  <c r="R23" i="67" s="1"/>
  <c r="N2" i="67"/>
  <c r="H2" i="67"/>
  <c r="R45" i="66"/>
  <c r="R44" i="66"/>
  <c r="R43" i="66"/>
  <c r="R42" i="66"/>
  <c r="R41" i="66"/>
  <c r="R40" i="66"/>
  <c r="R39" i="66"/>
  <c r="R38" i="66"/>
  <c r="R37" i="66"/>
  <c r="R36" i="66"/>
  <c r="R35" i="66"/>
  <c r="R34" i="66"/>
  <c r="R33" i="66"/>
  <c r="R32" i="66"/>
  <c r="R31" i="66"/>
  <c r="R30" i="66"/>
  <c r="R46" i="66" s="1"/>
  <c r="R22" i="66"/>
  <c r="R21" i="66"/>
  <c r="R20" i="66"/>
  <c r="R19" i="66"/>
  <c r="R18" i="66"/>
  <c r="R17" i="66"/>
  <c r="R16" i="66"/>
  <c r="R15" i="66"/>
  <c r="R14" i="66"/>
  <c r="R13" i="66"/>
  <c r="R12" i="66"/>
  <c r="R11" i="66"/>
  <c r="R10" i="66"/>
  <c r="R9" i="66"/>
  <c r="R8" i="66"/>
  <c r="R7" i="66"/>
  <c r="R23" i="66" s="1"/>
  <c r="N2" i="66"/>
  <c r="H2" i="66"/>
  <c r="O46" i="65"/>
  <c r="K46" i="65"/>
  <c r="M46" i="65" s="1"/>
  <c r="N46" i="65" s="1"/>
  <c r="O45" i="65"/>
  <c r="N45" i="65"/>
  <c r="M45" i="65"/>
  <c r="K45" i="65"/>
  <c r="O44" i="65"/>
  <c r="K44" i="65"/>
  <c r="M44" i="65" s="1"/>
  <c r="N44" i="65" s="1"/>
  <c r="O43" i="65"/>
  <c r="N43" i="65"/>
  <c r="M43" i="65"/>
  <c r="K43" i="65"/>
  <c r="K42" i="65"/>
  <c r="M42" i="65" s="1"/>
  <c r="N42" i="65" s="1"/>
  <c r="O41" i="65"/>
  <c r="N41" i="65"/>
  <c r="M41" i="65"/>
  <c r="K41" i="65"/>
  <c r="K40" i="65"/>
  <c r="M40" i="65" s="1"/>
  <c r="N40" i="65" s="1"/>
  <c r="O39" i="65"/>
  <c r="N39" i="65"/>
  <c r="M39" i="65"/>
  <c r="K39" i="65"/>
  <c r="O38" i="65"/>
  <c r="K38" i="65"/>
  <c r="M38" i="65" s="1"/>
  <c r="N38" i="65" s="1"/>
  <c r="J38" i="65"/>
  <c r="J37" i="65"/>
  <c r="K37" i="65" s="1"/>
  <c r="M37" i="65" s="1"/>
  <c r="K36" i="65"/>
  <c r="M36" i="65" s="1"/>
  <c r="J36" i="65"/>
  <c r="K35" i="65"/>
  <c r="L35" i="65" s="1"/>
  <c r="O32" i="65"/>
  <c r="N32" i="65"/>
  <c r="M32" i="65"/>
  <c r="K32" i="65"/>
  <c r="K31" i="65"/>
  <c r="M31" i="65" s="1"/>
  <c r="J30" i="65"/>
  <c r="K30" i="65" s="1"/>
  <c r="M30" i="65" s="1"/>
  <c r="K29" i="65"/>
  <c r="M29" i="65" s="1"/>
  <c r="O28" i="65"/>
  <c r="K28" i="65"/>
  <c r="M28" i="65" s="1"/>
  <c r="N28" i="65" s="1"/>
  <c r="J28" i="65"/>
  <c r="O27" i="65"/>
  <c r="M27" i="65"/>
  <c r="N27" i="65" s="1"/>
  <c r="K27" i="65"/>
  <c r="K26" i="65"/>
  <c r="M26" i="65" s="1"/>
  <c r="M25" i="65"/>
  <c r="K25" i="65"/>
  <c r="M24" i="65"/>
  <c r="K24" i="65"/>
  <c r="N23" i="65"/>
  <c r="M23" i="65"/>
  <c r="O23" i="65" s="1"/>
  <c r="K23" i="65"/>
  <c r="M22" i="65"/>
  <c r="K22" i="65"/>
  <c r="K21" i="65"/>
  <c r="M21" i="65" s="1"/>
  <c r="M20" i="65"/>
  <c r="K20" i="65"/>
  <c r="O19" i="65"/>
  <c r="M19" i="65"/>
  <c r="N19" i="65" s="1"/>
  <c r="K19" i="65"/>
  <c r="K18" i="65"/>
  <c r="M18" i="65" s="1"/>
  <c r="M17" i="65"/>
  <c r="K17" i="65"/>
  <c r="M16" i="65"/>
  <c r="K16" i="65"/>
  <c r="N15" i="65"/>
  <c r="M15" i="65"/>
  <c r="O15" i="65" s="1"/>
  <c r="K15" i="65"/>
  <c r="M14" i="65"/>
  <c r="K14" i="65"/>
  <c r="L12" i="65"/>
  <c r="I12" i="65"/>
  <c r="G12" i="65"/>
  <c r="H12" i="65" s="1"/>
  <c r="E12" i="65"/>
  <c r="E9" i="65"/>
  <c r="O7" i="65"/>
  <c r="H7" i="65"/>
  <c r="D7" i="65"/>
  <c r="H5" i="65"/>
  <c r="D5" i="65"/>
  <c r="H3" i="65"/>
  <c r="D3" i="65"/>
  <c r="K37" i="64"/>
  <c r="M37" i="64" s="1"/>
  <c r="N37" i="64" s="1"/>
  <c r="O36" i="64"/>
  <c r="N36" i="64"/>
  <c r="M36" i="64"/>
  <c r="K36" i="64"/>
  <c r="K35" i="64"/>
  <c r="M35" i="64" s="1"/>
  <c r="N35" i="64" s="1"/>
  <c r="O34" i="64"/>
  <c r="N34" i="64"/>
  <c r="M34" i="64"/>
  <c r="K34" i="64"/>
  <c r="O33" i="64"/>
  <c r="K33" i="64"/>
  <c r="M33" i="64" s="1"/>
  <c r="N33" i="64" s="1"/>
  <c r="O32" i="64"/>
  <c r="N32" i="64"/>
  <c r="M32" i="64"/>
  <c r="K32" i="64"/>
  <c r="K31" i="64"/>
  <c r="M31" i="64" s="1"/>
  <c r="O30" i="64"/>
  <c r="N30" i="64"/>
  <c r="M30" i="64"/>
  <c r="K30" i="64"/>
  <c r="K29" i="64"/>
  <c r="M29" i="64" s="1"/>
  <c r="N29" i="64" s="1"/>
  <c r="J29" i="64"/>
  <c r="J28" i="64"/>
  <c r="K28" i="64" s="1"/>
  <c r="O27" i="64"/>
  <c r="K27" i="64"/>
  <c r="M27" i="64" s="1"/>
  <c r="J27" i="64"/>
  <c r="O23" i="64"/>
  <c r="N23" i="64"/>
  <c r="M23" i="64"/>
  <c r="K23" i="64"/>
  <c r="K22" i="64"/>
  <c r="M22" i="64" s="1"/>
  <c r="O21" i="64"/>
  <c r="N21" i="64"/>
  <c r="M21" i="64"/>
  <c r="K21" i="64"/>
  <c r="K20" i="64"/>
  <c r="M20" i="64" s="1"/>
  <c r="O19" i="64"/>
  <c r="N19" i="64"/>
  <c r="M19" i="64"/>
  <c r="K19" i="64"/>
  <c r="K18" i="64"/>
  <c r="M18" i="64" s="1"/>
  <c r="O17" i="64"/>
  <c r="N17" i="64"/>
  <c r="M17" i="64"/>
  <c r="K17" i="64"/>
  <c r="K16" i="64"/>
  <c r="O15" i="64"/>
  <c r="N15" i="64"/>
  <c r="M15" i="64"/>
  <c r="K15" i="64"/>
  <c r="K14" i="64"/>
  <c r="I12" i="64"/>
  <c r="H12" i="64"/>
  <c r="G12" i="64"/>
  <c r="E12" i="64"/>
  <c r="E9" i="64"/>
  <c r="O7" i="64"/>
  <c r="H7" i="64"/>
  <c r="D7" i="64"/>
  <c r="H5" i="64"/>
  <c r="D5" i="64"/>
  <c r="H3" i="64"/>
  <c r="D3" i="64"/>
  <c r="L62" i="63"/>
  <c r="J62" i="63"/>
  <c r="K62" i="63" s="1"/>
  <c r="H62" i="63"/>
  <c r="H61" i="63"/>
  <c r="J61" i="63" s="1"/>
  <c r="J60" i="63"/>
  <c r="H60" i="63"/>
  <c r="J59" i="63"/>
  <c r="H59" i="63"/>
  <c r="K58" i="63"/>
  <c r="J58" i="63"/>
  <c r="L58" i="63" s="1"/>
  <c r="H58" i="63"/>
  <c r="J57" i="63"/>
  <c r="H57" i="63"/>
  <c r="H56" i="63"/>
  <c r="J56" i="63" s="1"/>
  <c r="J55" i="63"/>
  <c r="H55" i="63"/>
  <c r="L54" i="63"/>
  <c r="J54" i="63"/>
  <c r="K54" i="63" s="1"/>
  <c r="H54" i="63"/>
  <c r="H53" i="63"/>
  <c r="H50" i="63"/>
  <c r="J50" i="63" s="1"/>
  <c r="K50" i="63" s="1"/>
  <c r="L50" i="63" s="1"/>
  <c r="L49" i="63"/>
  <c r="K49" i="63"/>
  <c r="J49" i="63"/>
  <c r="H49" i="63"/>
  <c r="J48" i="63"/>
  <c r="K48" i="63" s="1"/>
  <c r="L48" i="63" s="1"/>
  <c r="H48" i="63"/>
  <c r="K47" i="63"/>
  <c r="L47" i="63" s="1"/>
  <c r="J47" i="63"/>
  <c r="H47" i="63"/>
  <c r="H46" i="63"/>
  <c r="J46" i="63" s="1"/>
  <c r="K46" i="63" s="1"/>
  <c r="L46" i="63" s="1"/>
  <c r="J45" i="63"/>
  <c r="K45" i="63" s="1"/>
  <c r="L45" i="63" s="1"/>
  <c r="H45" i="63"/>
  <c r="J44" i="63"/>
  <c r="K44" i="63" s="1"/>
  <c r="L44" i="63" s="1"/>
  <c r="H44" i="63"/>
  <c r="J43" i="63"/>
  <c r="K43" i="63" s="1"/>
  <c r="L43" i="63" s="1"/>
  <c r="H43" i="63"/>
  <c r="H42" i="63"/>
  <c r="J42" i="63" s="1"/>
  <c r="K42" i="63" s="1"/>
  <c r="L42" i="63" s="1"/>
  <c r="K41" i="63"/>
  <c r="L41" i="63" s="1"/>
  <c r="J41" i="63"/>
  <c r="H41" i="63"/>
  <c r="K40" i="63"/>
  <c r="L40" i="63" s="1"/>
  <c r="J40" i="63"/>
  <c r="H40" i="63"/>
  <c r="L39" i="63"/>
  <c r="J39" i="63"/>
  <c r="K39" i="63" s="1"/>
  <c r="H39" i="63"/>
  <c r="J37" i="63"/>
  <c r="K37" i="63" s="1"/>
  <c r="L37" i="63" s="1"/>
  <c r="H37" i="63"/>
  <c r="K36" i="63"/>
  <c r="L36" i="63" s="1"/>
  <c r="J36" i="63"/>
  <c r="H36" i="63"/>
  <c r="H35" i="63"/>
  <c r="J35" i="63" s="1"/>
  <c r="K35" i="63" s="1"/>
  <c r="L35" i="63" s="1"/>
  <c r="G33" i="63"/>
  <c r="H33" i="63" s="1"/>
  <c r="J33" i="63" s="1"/>
  <c r="K33" i="63" s="1"/>
  <c r="L33" i="63" s="1"/>
  <c r="G32" i="63"/>
  <c r="H32" i="63" s="1"/>
  <c r="J32" i="63" s="1"/>
  <c r="K32" i="63" s="1"/>
  <c r="L32" i="63" s="1"/>
  <c r="K31" i="63"/>
  <c r="L31" i="63" s="1"/>
  <c r="J31" i="63"/>
  <c r="H30" i="63"/>
  <c r="J30" i="63" s="1"/>
  <c r="K30" i="63" s="1"/>
  <c r="L30" i="63" s="1"/>
  <c r="J29" i="63"/>
  <c r="K29" i="63" s="1"/>
  <c r="L29" i="63" s="1"/>
  <c r="H29" i="63"/>
  <c r="L28" i="63"/>
  <c r="H28" i="63"/>
  <c r="J28" i="63" s="1"/>
  <c r="K28" i="63" s="1"/>
  <c r="K27" i="63"/>
  <c r="L27" i="63" s="1"/>
  <c r="J27" i="63"/>
  <c r="H27" i="63"/>
  <c r="L26" i="63"/>
  <c r="H26" i="63"/>
  <c r="J26" i="63" s="1"/>
  <c r="K26" i="63" s="1"/>
  <c r="H25" i="63"/>
  <c r="J25" i="63" s="1"/>
  <c r="K25" i="63" s="1"/>
  <c r="L25" i="63" s="1"/>
  <c r="L24" i="63"/>
  <c r="K24" i="63"/>
  <c r="K23" i="63"/>
  <c r="L23" i="63" s="1"/>
  <c r="H23" i="63"/>
  <c r="J23" i="63" s="1"/>
  <c r="G23" i="63"/>
  <c r="K22" i="63"/>
  <c r="L22" i="63" s="1"/>
  <c r="G22" i="63"/>
  <c r="H22" i="63" s="1"/>
  <c r="J22" i="63" s="1"/>
  <c r="K21" i="63"/>
  <c r="L21" i="63" s="1"/>
  <c r="H21" i="63"/>
  <c r="J21" i="63" s="1"/>
  <c r="G21" i="63"/>
  <c r="H20" i="63"/>
  <c r="J20" i="63" s="1"/>
  <c r="K20" i="63" s="1"/>
  <c r="L20" i="63" s="1"/>
  <c r="G20" i="63"/>
  <c r="K19" i="63"/>
  <c r="L19" i="63" s="1"/>
  <c r="J19" i="63"/>
  <c r="H19" i="63"/>
  <c r="G19" i="63"/>
  <c r="G18" i="63"/>
  <c r="H18" i="63" s="1"/>
  <c r="J18" i="63" s="1"/>
  <c r="K18" i="63" s="1"/>
  <c r="L18" i="63" s="1"/>
  <c r="H17" i="63"/>
  <c r="J17" i="63" s="1"/>
  <c r="K17" i="63" s="1"/>
  <c r="L17" i="63" s="1"/>
  <c r="G17" i="63"/>
  <c r="K16" i="63"/>
  <c r="L16" i="63" s="1"/>
  <c r="J16" i="63"/>
  <c r="H16" i="63"/>
  <c r="G16" i="63"/>
  <c r="G15" i="63"/>
  <c r="H15" i="63" s="1"/>
  <c r="D9" i="63"/>
  <c r="L7" i="63"/>
  <c r="G7" i="63"/>
  <c r="C7" i="63"/>
  <c r="G5" i="63"/>
  <c r="C5" i="63"/>
  <c r="G3" i="63"/>
  <c r="C3" i="63"/>
  <c r="J61" i="62"/>
  <c r="H61" i="62"/>
  <c r="K60" i="62"/>
  <c r="H60" i="62"/>
  <c r="J60" i="62" s="1"/>
  <c r="L60" i="62" s="1"/>
  <c r="H59" i="62"/>
  <c r="J59" i="62" s="1"/>
  <c r="H58" i="62"/>
  <c r="J58" i="62" s="1"/>
  <c r="K58" i="62" s="1"/>
  <c r="H57" i="62"/>
  <c r="J57" i="62" s="1"/>
  <c r="J56" i="62"/>
  <c r="H56" i="62"/>
  <c r="H55" i="62"/>
  <c r="K54" i="62"/>
  <c r="H54" i="62"/>
  <c r="J54" i="62" s="1"/>
  <c r="L54" i="62" s="1"/>
  <c r="J53" i="62"/>
  <c r="H53" i="62"/>
  <c r="K52" i="62"/>
  <c r="H52" i="62"/>
  <c r="J52" i="62" s="1"/>
  <c r="J49" i="62"/>
  <c r="K49" i="62" s="1"/>
  <c r="L49" i="62" s="1"/>
  <c r="H49" i="62"/>
  <c r="K48" i="62"/>
  <c r="L48" i="62" s="1"/>
  <c r="H48" i="62"/>
  <c r="J48" i="62" s="1"/>
  <c r="L47" i="62"/>
  <c r="K47" i="62"/>
  <c r="J47" i="62"/>
  <c r="H47" i="62"/>
  <c r="J46" i="62"/>
  <c r="K46" i="62" s="1"/>
  <c r="L46" i="62" s="1"/>
  <c r="H46" i="62"/>
  <c r="K45" i="62"/>
  <c r="L45" i="62" s="1"/>
  <c r="J45" i="62"/>
  <c r="H45" i="62"/>
  <c r="S44" i="62"/>
  <c r="H44" i="62"/>
  <c r="J44" i="62" s="1"/>
  <c r="K44" i="62" s="1"/>
  <c r="L44" i="62" s="1"/>
  <c r="S43" i="62"/>
  <c r="L43" i="62"/>
  <c r="H43" i="62"/>
  <c r="J43" i="62" s="1"/>
  <c r="K43" i="62" s="1"/>
  <c r="S42" i="62"/>
  <c r="H42" i="62"/>
  <c r="J42" i="62" s="1"/>
  <c r="K42" i="62" s="1"/>
  <c r="L42" i="62" s="1"/>
  <c r="S41" i="62"/>
  <c r="H41" i="62"/>
  <c r="J41" i="62" s="1"/>
  <c r="K41" i="62" s="1"/>
  <c r="L41" i="62" s="1"/>
  <c r="S40" i="62"/>
  <c r="L40" i="62"/>
  <c r="K40" i="62"/>
  <c r="J40" i="62"/>
  <c r="H40" i="62"/>
  <c r="S39" i="62"/>
  <c r="H39" i="62"/>
  <c r="J39" i="62" s="1"/>
  <c r="K39" i="62" s="1"/>
  <c r="L39" i="62" s="1"/>
  <c r="S38" i="62"/>
  <c r="H38" i="62"/>
  <c r="J38" i="62" s="1"/>
  <c r="K38" i="62" s="1"/>
  <c r="L38" i="62" s="1"/>
  <c r="J36" i="62"/>
  <c r="K36" i="62" s="1"/>
  <c r="L36" i="62" s="1"/>
  <c r="H36" i="62"/>
  <c r="J35" i="62"/>
  <c r="K35" i="62" s="1"/>
  <c r="L35" i="62" s="1"/>
  <c r="H35" i="62"/>
  <c r="K34" i="62"/>
  <c r="L34" i="62" s="1"/>
  <c r="J34" i="62"/>
  <c r="H34" i="62"/>
  <c r="J32" i="62"/>
  <c r="K32" i="62" s="1"/>
  <c r="L32" i="62" s="1"/>
  <c r="H32" i="62"/>
  <c r="G32" i="62"/>
  <c r="G31" i="62"/>
  <c r="H31" i="62" s="1"/>
  <c r="J31" i="62" s="1"/>
  <c r="K31" i="62" s="1"/>
  <c r="L31" i="62" s="1"/>
  <c r="L30" i="62"/>
  <c r="K30" i="62"/>
  <c r="J30" i="62"/>
  <c r="J29" i="62"/>
  <c r="K29" i="62" s="1"/>
  <c r="L29" i="62" s="1"/>
  <c r="H29" i="62"/>
  <c r="K28" i="62"/>
  <c r="L28" i="62" s="1"/>
  <c r="J28" i="62"/>
  <c r="H28" i="62"/>
  <c r="L27" i="62"/>
  <c r="J27" i="62"/>
  <c r="K27" i="62" s="1"/>
  <c r="H27" i="62"/>
  <c r="K26" i="62"/>
  <c r="L26" i="62" s="1"/>
  <c r="J26" i="62"/>
  <c r="H26" i="62"/>
  <c r="L25" i="62"/>
  <c r="J25" i="62"/>
  <c r="K25" i="62" s="1"/>
  <c r="H25" i="62"/>
  <c r="K24" i="62"/>
  <c r="L24" i="62" s="1"/>
  <c r="J24" i="62"/>
  <c r="H24" i="62"/>
  <c r="J23" i="62"/>
  <c r="K23" i="62" s="1"/>
  <c r="L23" i="62" s="1"/>
  <c r="J22" i="62"/>
  <c r="K22" i="62" s="1"/>
  <c r="L22" i="62" s="1"/>
  <c r="H22" i="62"/>
  <c r="G22" i="62"/>
  <c r="G21" i="62"/>
  <c r="H21" i="62" s="1"/>
  <c r="J21" i="62" s="1"/>
  <c r="L20" i="62"/>
  <c r="H20" i="62"/>
  <c r="J20" i="62" s="1"/>
  <c r="K20" i="62" s="1"/>
  <c r="K19" i="62"/>
  <c r="L19" i="62" s="1"/>
  <c r="H19" i="62"/>
  <c r="J19" i="62" s="1"/>
  <c r="H18" i="62"/>
  <c r="J18" i="62" s="1"/>
  <c r="K18" i="62" s="1"/>
  <c r="L18" i="62" s="1"/>
  <c r="H17" i="62"/>
  <c r="J17" i="62" s="1"/>
  <c r="K17" i="62" s="1"/>
  <c r="L17" i="62" s="1"/>
  <c r="H16" i="62"/>
  <c r="J16" i="62" s="1"/>
  <c r="K16" i="62" s="1"/>
  <c r="L16" i="62" s="1"/>
  <c r="J15" i="62"/>
  <c r="K15" i="62" s="1"/>
  <c r="H15" i="62"/>
  <c r="G15" i="62"/>
  <c r="D9" i="62"/>
  <c r="L7" i="62"/>
  <c r="G7" i="62"/>
  <c r="C7" i="62"/>
  <c r="G5" i="62"/>
  <c r="C5" i="62"/>
  <c r="G3" i="62"/>
  <c r="C3" i="62"/>
  <c r="I55" i="61"/>
  <c r="G55" i="61"/>
  <c r="K54" i="61"/>
  <c r="J54" i="61"/>
  <c r="I54" i="61"/>
  <c r="G54" i="61"/>
  <c r="I53" i="61"/>
  <c r="G53" i="61"/>
  <c r="K52" i="61"/>
  <c r="J52" i="61"/>
  <c r="I52" i="61"/>
  <c r="G52" i="61"/>
  <c r="I51" i="61"/>
  <c r="F51" i="61"/>
  <c r="G51" i="61" s="1"/>
  <c r="F50" i="61"/>
  <c r="G50" i="61" s="1"/>
  <c r="I50" i="61" s="1"/>
  <c r="I49" i="61"/>
  <c r="G49" i="61"/>
  <c r="F49" i="61"/>
  <c r="G48" i="61"/>
  <c r="I48" i="61" s="1"/>
  <c r="F48" i="61"/>
  <c r="K47" i="61"/>
  <c r="J47" i="61"/>
  <c r="F47" i="61"/>
  <c r="G47" i="61" s="1"/>
  <c r="I47" i="61" s="1"/>
  <c r="G46" i="61"/>
  <c r="F46" i="61"/>
  <c r="G45" i="61"/>
  <c r="I45" i="61" s="1"/>
  <c r="F45" i="61"/>
  <c r="K44" i="61"/>
  <c r="I44" i="61"/>
  <c r="J44" i="61" s="1"/>
  <c r="G44" i="61"/>
  <c r="F44" i="61"/>
  <c r="G41" i="61"/>
  <c r="I41" i="61" s="1"/>
  <c r="F40" i="61"/>
  <c r="G40" i="61" s="1"/>
  <c r="I40" i="61" s="1"/>
  <c r="F39" i="61"/>
  <c r="G39" i="61" s="1"/>
  <c r="I39" i="61" s="1"/>
  <c r="I38" i="61"/>
  <c r="G38" i="61"/>
  <c r="F38" i="61"/>
  <c r="I37" i="61"/>
  <c r="G37" i="61"/>
  <c r="K36" i="61"/>
  <c r="J36" i="61"/>
  <c r="F36" i="61"/>
  <c r="G36" i="61" s="1"/>
  <c r="I36" i="61" s="1"/>
  <c r="K35" i="61"/>
  <c r="G35" i="61"/>
  <c r="I35" i="61" s="1"/>
  <c r="J35" i="61" s="1"/>
  <c r="F35" i="61"/>
  <c r="G34" i="61"/>
  <c r="I34" i="61" s="1"/>
  <c r="G33" i="61"/>
  <c r="I33" i="61" s="1"/>
  <c r="K33" i="61" s="1"/>
  <c r="I32" i="61"/>
  <c r="G32" i="61"/>
  <c r="J31" i="61"/>
  <c r="G31" i="61"/>
  <c r="I31" i="61" s="1"/>
  <c r="K31" i="61" s="1"/>
  <c r="F31" i="61"/>
  <c r="I30" i="61"/>
  <c r="G30" i="61"/>
  <c r="F30" i="61"/>
  <c r="K29" i="61"/>
  <c r="F29" i="61"/>
  <c r="G29" i="61" s="1"/>
  <c r="I29" i="61" s="1"/>
  <c r="J29" i="61" s="1"/>
  <c r="I28" i="61"/>
  <c r="G28" i="61"/>
  <c r="F28" i="61"/>
  <c r="I27" i="61"/>
  <c r="F27" i="61"/>
  <c r="G27" i="61" s="1"/>
  <c r="I26" i="61"/>
  <c r="G26" i="61"/>
  <c r="F26" i="61"/>
  <c r="F25" i="61"/>
  <c r="G25" i="61" s="1"/>
  <c r="I25" i="61" s="1"/>
  <c r="K24" i="61"/>
  <c r="G24" i="61"/>
  <c r="I24" i="61" s="1"/>
  <c r="J24" i="61" s="1"/>
  <c r="F24" i="61"/>
  <c r="K23" i="61"/>
  <c r="I23" i="61"/>
  <c r="J23" i="61" s="1"/>
  <c r="G23" i="61"/>
  <c r="F23" i="61"/>
  <c r="F22" i="61"/>
  <c r="G22" i="61" s="1"/>
  <c r="I22" i="61" s="1"/>
  <c r="K22" i="61" s="1"/>
  <c r="K21" i="61"/>
  <c r="J21" i="61"/>
  <c r="F21" i="61"/>
  <c r="G21" i="61" s="1"/>
  <c r="I21" i="61" s="1"/>
  <c r="J20" i="61"/>
  <c r="F20" i="61"/>
  <c r="G20" i="61" s="1"/>
  <c r="I20" i="61" s="1"/>
  <c r="K20" i="61" s="1"/>
  <c r="G19" i="61"/>
  <c r="I19" i="61" s="1"/>
  <c r="F19" i="61"/>
  <c r="J18" i="61"/>
  <c r="I18" i="61"/>
  <c r="K18" i="61" s="1"/>
  <c r="G18" i="61"/>
  <c r="I17" i="61"/>
  <c r="J16" i="61"/>
  <c r="F16" i="61"/>
  <c r="G16" i="61" s="1"/>
  <c r="I16" i="61" s="1"/>
  <c r="K16" i="61" s="1"/>
  <c r="F15" i="61"/>
  <c r="G15" i="61" s="1"/>
  <c r="I15" i="61" s="1"/>
  <c r="K14" i="61"/>
  <c r="J14" i="61"/>
  <c r="I14" i="61"/>
  <c r="G14" i="61"/>
  <c r="F14" i="61"/>
  <c r="D10" i="61"/>
  <c r="K7" i="61"/>
  <c r="F7" i="61"/>
  <c r="C7" i="61"/>
  <c r="F5" i="61"/>
  <c r="C5" i="61"/>
  <c r="F3" i="61"/>
  <c r="C3" i="61"/>
  <c r="J66" i="60"/>
  <c r="C73" i="60" s="1"/>
  <c r="G66" i="60"/>
  <c r="I66" i="60" s="1"/>
  <c r="K66" i="60" s="1"/>
  <c r="K65" i="60"/>
  <c r="J65" i="60"/>
  <c r="I65" i="60"/>
  <c r="G65" i="60"/>
  <c r="I64" i="60"/>
  <c r="G64" i="60"/>
  <c r="J63" i="60"/>
  <c r="I63" i="60"/>
  <c r="K63" i="60" s="1"/>
  <c r="G63" i="60"/>
  <c r="J62" i="60"/>
  <c r="G62" i="60"/>
  <c r="I62" i="60" s="1"/>
  <c r="K62" i="60" s="1"/>
  <c r="I61" i="60"/>
  <c r="G61" i="60"/>
  <c r="I60" i="60"/>
  <c r="G60" i="60"/>
  <c r="K59" i="60"/>
  <c r="I59" i="60"/>
  <c r="J59" i="60" s="1"/>
  <c r="G59" i="60"/>
  <c r="G58" i="60"/>
  <c r="I58" i="60" s="1"/>
  <c r="F58" i="60"/>
  <c r="K57" i="60"/>
  <c r="F57" i="60"/>
  <c r="G57" i="60" s="1"/>
  <c r="I57" i="60" s="1"/>
  <c r="J57" i="60" s="1"/>
  <c r="G54" i="60"/>
  <c r="I54" i="60" s="1"/>
  <c r="O53" i="60"/>
  <c r="K53" i="60"/>
  <c r="J53" i="60"/>
  <c r="I53" i="60"/>
  <c r="G53" i="60"/>
  <c r="I52" i="60"/>
  <c r="G52" i="60"/>
  <c r="I51" i="60"/>
  <c r="G51" i="60"/>
  <c r="I50" i="60"/>
  <c r="G50" i="60"/>
  <c r="G49" i="60"/>
  <c r="I49" i="60" s="1"/>
  <c r="K49" i="60" s="1"/>
  <c r="G48" i="60"/>
  <c r="I48" i="60" s="1"/>
  <c r="J47" i="60"/>
  <c r="P47" i="60" s="1"/>
  <c r="G47" i="60"/>
  <c r="I47" i="60" s="1"/>
  <c r="K47" i="60" s="1"/>
  <c r="G46" i="60"/>
  <c r="I46" i="60" s="1"/>
  <c r="K45" i="60"/>
  <c r="J45" i="60"/>
  <c r="P45" i="60" s="1"/>
  <c r="I45" i="60"/>
  <c r="G45" i="60"/>
  <c r="J44" i="60"/>
  <c r="P44" i="60" s="1"/>
  <c r="I44" i="60"/>
  <c r="K44" i="60" s="1"/>
  <c r="G44" i="60"/>
  <c r="G43" i="60"/>
  <c r="I43" i="60" s="1"/>
  <c r="J42" i="60"/>
  <c r="P42" i="60" s="1"/>
  <c r="I42" i="60"/>
  <c r="K42" i="60" s="1"/>
  <c r="G42" i="60"/>
  <c r="K41" i="60"/>
  <c r="I41" i="60"/>
  <c r="J41" i="60" s="1"/>
  <c r="P41" i="60" s="1"/>
  <c r="G41" i="60"/>
  <c r="K40" i="60"/>
  <c r="G40" i="60"/>
  <c r="I40" i="60" s="1"/>
  <c r="J40" i="60" s="1"/>
  <c r="P40" i="60" s="1"/>
  <c r="K39" i="60"/>
  <c r="I39" i="60"/>
  <c r="J39" i="60" s="1"/>
  <c r="N39" i="60" s="1"/>
  <c r="G39" i="60"/>
  <c r="I38" i="60"/>
  <c r="G38" i="60"/>
  <c r="N37" i="60"/>
  <c r="K37" i="60"/>
  <c r="J37" i="60"/>
  <c r="I37" i="60"/>
  <c r="G37" i="60"/>
  <c r="G36" i="60"/>
  <c r="I36" i="60" s="1"/>
  <c r="F36" i="60"/>
  <c r="J35" i="60"/>
  <c r="N35" i="60" s="1"/>
  <c r="G35" i="60"/>
  <c r="I35" i="60" s="1"/>
  <c r="K35" i="60" s="1"/>
  <c r="N34" i="60"/>
  <c r="K34" i="60"/>
  <c r="J34" i="60"/>
  <c r="I34" i="60"/>
  <c r="G34" i="60"/>
  <c r="I33" i="60"/>
  <c r="G33" i="60"/>
  <c r="I32" i="60"/>
  <c r="G32" i="60"/>
  <c r="I31" i="60"/>
  <c r="G31" i="60"/>
  <c r="J30" i="60"/>
  <c r="N30" i="60" s="1"/>
  <c r="G30" i="60"/>
  <c r="I30" i="60" s="1"/>
  <c r="K30" i="60" s="1"/>
  <c r="G29" i="60"/>
  <c r="I29" i="60" s="1"/>
  <c r="G28" i="60"/>
  <c r="I28" i="60" s="1"/>
  <c r="K28" i="60" s="1"/>
  <c r="F28" i="60"/>
  <c r="F27" i="60"/>
  <c r="G27" i="60" s="1"/>
  <c r="I27" i="60" s="1"/>
  <c r="I26" i="60"/>
  <c r="F26" i="60"/>
  <c r="G26" i="60" s="1"/>
  <c r="F25" i="60"/>
  <c r="G25" i="60" s="1"/>
  <c r="I25" i="60" s="1"/>
  <c r="K24" i="60"/>
  <c r="G24" i="60"/>
  <c r="I24" i="60" s="1"/>
  <c r="J24" i="60" s="1"/>
  <c r="M24" i="60" s="1"/>
  <c r="G23" i="60"/>
  <c r="I23" i="60" s="1"/>
  <c r="M22" i="60"/>
  <c r="K22" i="60"/>
  <c r="J22" i="60"/>
  <c r="I22" i="60"/>
  <c r="G22" i="60"/>
  <c r="J21" i="60"/>
  <c r="M21" i="60" s="1"/>
  <c r="G21" i="60"/>
  <c r="I21" i="60" s="1"/>
  <c r="K21" i="60" s="1"/>
  <c r="G20" i="60"/>
  <c r="I20" i="60" s="1"/>
  <c r="K19" i="60"/>
  <c r="J19" i="60"/>
  <c r="M19" i="60" s="1"/>
  <c r="I19" i="60"/>
  <c r="G19" i="60"/>
  <c r="F19" i="60"/>
  <c r="K18" i="60"/>
  <c r="G18" i="60"/>
  <c r="I18" i="60" s="1"/>
  <c r="J18" i="60" s="1"/>
  <c r="M18" i="60" s="1"/>
  <c r="F18" i="60"/>
  <c r="J17" i="60"/>
  <c r="M17" i="60" s="1"/>
  <c r="G17" i="60"/>
  <c r="I17" i="60" s="1"/>
  <c r="K17" i="60" s="1"/>
  <c r="M16" i="60"/>
  <c r="K16" i="60"/>
  <c r="J16" i="60"/>
  <c r="I16" i="60"/>
  <c r="G16" i="60"/>
  <c r="I15" i="60"/>
  <c r="G15" i="60"/>
  <c r="F15" i="60"/>
  <c r="G14" i="60"/>
  <c r="F14" i="60"/>
  <c r="G13" i="60"/>
  <c r="F13" i="60"/>
  <c r="H12" i="60"/>
  <c r="D9" i="60"/>
  <c r="K7" i="60"/>
  <c r="F7" i="60"/>
  <c r="C7" i="60"/>
  <c r="F5" i="60"/>
  <c r="C5" i="60"/>
  <c r="F3" i="60"/>
  <c r="C3" i="60"/>
  <c r="K66" i="59"/>
  <c r="G66" i="59"/>
  <c r="I66" i="59" s="1"/>
  <c r="J66" i="59" s="1"/>
  <c r="K65" i="59"/>
  <c r="J65" i="59"/>
  <c r="I65" i="59"/>
  <c r="G65" i="59"/>
  <c r="G64" i="59"/>
  <c r="I64" i="59" s="1"/>
  <c r="J64" i="59" s="1"/>
  <c r="K63" i="59"/>
  <c r="J63" i="59"/>
  <c r="I63" i="59"/>
  <c r="G63" i="59"/>
  <c r="K62" i="59"/>
  <c r="G62" i="59"/>
  <c r="I62" i="59" s="1"/>
  <c r="J62" i="59" s="1"/>
  <c r="K61" i="59"/>
  <c r="J61" i="59"/>
  <c r="I61" i="59"/>
  <c r="G61" i="59"/>
  <c r="G60" i="59"/>
  <c r="I60" i="59" s="1"/>
  <c r="F59" i="59"/>
  <c r="G59" i="59" s="1"/>
  <c r="I59" i="59" s="1"/>
  <c r="J58" i="59"/>
  <c r="F58" i="59"/>
  <c r="G58" i="59" s="1"/>
  <c r="I58" i="59" s="1"/>
  <c r="K58" i="59" s="1"/>
  <c r="F57" i="59"/>
  <c r="G57" i="59" s="1"/>
  <c r="J54" i="59"/>
  <c r="I54" i="59"/>
  <c r="K54" i="59" s="1"/>
  <c r="G54" i="59"/>
  <c r="K53" i="59"/>
  <c r="J53" i="59"/>
  <c r="I53" i="59"/>
  <c r="G53" i="59"/>
  <c r="J52" i="59"/>
  <c r="I52" i="59"/>
  <c r="K52" i="59" s="1"/>
  <c r="G52" i="59"/>
  <c r="K51" i="59"/>
  <c r="J51" i="59"/>
  <c r="I51" i="59"/>
  <c r="G51" i="59"/>
  <c r="J50" i="59"/>
  <c r="I50" i="59"/>
  <c r="K50" i="59" s="1"/>
  <c r="G50" i="59"/>
  <c r="K49" i="59"/>
  <c r="J49" i="59"/>
  <c r="I49" i="59"/>
  <c r="G49" i="59"/>
  <c r="J48" i="59"/>
  <c r="I48" i="59"/>
  <c r="K48" i="59" s="1"/>
  <c r="G48" i="59"/>
  <c r="K47" i="59"/>
  <c r="J47" i="59"/>
  <c r="I47" i="59"/>
  <c r="G47" i="59"/>
  <c r="J46" i="59"/>
  <c r="I46" i="59"/>
  <c r="K46" i="59" s="1"/>
  <c r="G46" i="59"/>
  <c r="K45" i="59"/>
  <c r="J45" i="59"/>
  <c r="I45" i="59"/>
  <c r="G45" i="59"/>
  <c r="J44" i="59"/>
  <c r="I44" i="59"/>
  <c r="K44" i="59" s="1"/>
  <c r="G44" i="59"/>
  <c r="K43" i="59"/>
  <c r="J43" i="59"/>
  <c r="I43" i="59"/>
  <c r="G43" i="59"/>
  <c r="J42" i="59"/>
  <c r="I42" i="59"/>
  <c r="K42" i="59" s="1"/>
  <c r="G42" i="59"/>
  <c r="K41" i="59"/>
  <c r="J41" i="59"/>
  <c r="I41" i="59"/>
  <c r="G41" i="59"/>
  <c r="J40" i="59"/>
  <c r="I40" i="59"/>
  <c r="K40" i="59" s="1"/>
  <c r="G40" i="59"/>
  <c r="K39" i="59"/>
  <c r="J39" i="59"/>
  <c r="I39" i="59"/>
  <c r="G39" i="59"/>
  <c r="J38" i="59"/>
  <c r="I38" i="59"/>
  <c r="K38" i="59" s="1"/>
  <c r="G38" i="59"/>
  <c r="K37" i="59"/>
  <c r="J37" i="59"/>
  <c r="I37" i="59"/>
  <c r="G37" i="59"/>
  <c r="J36" i="59"/>
  <c r="F36" i="59"/>
  <c r="G36" i="59" s="1"/>
  <c r="I36" i="59" s="1"/>
  <c r="K36" i="59" s="1"/>
  <c r="G35" i="59"/>
  <c r="I35" i="59" s="1"/>
  <c r="I34" i="59"/>
  <c r="G34" i="59"/>
  <c r="G33" i="59"/>
  <c r="I33" i="59" s="1"/>
  <c r="G32" i="59"/>
  <c r="I32" i="59" s="1"/>
  <c r="K32" i="59" s="1"/>
  <c r="K31" i="59"/>
  <c r="G31" i="59"/>
  <c r="I31" i="59" s="1"/>
  <c r="J31" i="59" s="1"/>
  <c r="G30" i="59"/>
  <c r="I30" i="59" s="1"/>
  <c r="G29" i="59"/>
  <c r="I29" i="59" s="1"/>
  <c r="J29" i="59" s="1"/>
  <c r="K28" i="59"/>
  <c r="G28" i="59"/>
  <c r="I28" i="59" s="1"/>
  <c r="J28" i="59" s="1"/>
  <c r="G27" i="59"/>
  <c r="I27" i="59" s="1"/>
  <c r="I26" i="59"/>
  <c r="G26" i="59"/>
  <c r="G25" i="59"/>
  <c r="I25" i="59" s="1"/>
  <c r="J24" i="59"/>
  <c r="G24" i="59"/>
  <c r="I24" i="59" s="1"/>
  <c r="K24" i="59" s="1"/>
  <c r="K23" i="59"/>
  <c r="G23" i="59"/>
  <c r="I23" i="59" s="1"/>
  <c r="J23" i="59" s="1"/>
  <c r="G22" i="59"/>
  <c r="I22" i="59" s="1"/>
  <c r="K22" i="59" s="1"/>
  <c r="G21" i="59"/>
  <c r="I21" i="59" s="1"/>
  <c r="J21" i="59" s="1"/>
  <c r="G20" i="59"/>
  <c r="I20" i="59" s="1"/>
  <c r="G19" i="59"/>
  <c r="I19" i="59" s="1"/>
  <c r="I18" i="59"/>
  <c r="G18" i="59"/>
  <c r="F18" i="59"/>
  <c r="I17" i="59"/>
  <c r="G17" i="59"/>
  <c r="G16" i="59"/>
  <c r="I15" i="59"/>
  <c r="G15" i="59"/>
  <c r="I14" i="59"/>
  <c r="J14" i="59" s="1"/>
  <c r="G14" i="59"/>
  <c r="G13" i="59"/>
  <c r="D9" i="59"/>
  <c r="K7" i="59"/>
  <c r="F7" i="59"/>
  <c r="C7" i="59"/>
  <c r="F5" i="59"/>
  <c r="C5" i="59"/>
  <c r="F3" i="59"/>
  <c r="C3" i="59"/>
  <c r="R91" i="58"/>
  <c r="R90" i="58"/>
  <c r="R89" i="58"/>
  <c r="R88" i="58"/>
  <c r="R87" i="58"/>
  <c r="R86" i="58"/>
  <c r="R85" i="58"/>
  <c r="R84" i="58"/>
  <c r="R83" i="58"/>
  <c r="R82" i="58"/>
  <c r="R81" i="58"/>
  <c r="R80" i="58"/>
  <c r="R79" i="58"/>
  <c r="R78" i="58"/>
  <c r="R77" i="58"/>
  <c r="R76" i="58"/>
  <c r="R68" i="58"/>
  <c r="R67" i="58"/>
  <c r="R66" i="58"/>
  <c r="R65" i="58"/>
  <c r="R64" i="58"/>
  <c r="R63" i="58"/>
  <c r="R62" i="58"/>
  <c r="R61" i="58"/>
  <c r="R60" i="58"/>
  <c r="R59" i="58"/>
  <c r="R58" i="58"/>
  <c r="R57" i="58"/>
  <c r="R56" i="58"/>
  <c r="R55" i="58"/>
  <c r="R54" i="58"/>
  <c r="R53" i="58"/>
  <c r="R45" i="58"/>
  <c r="R44" i="58"/>
  <c r="R43" i="58"/>
  <c r="R42" i="58"/>
  <c r="R41" i="58"/>
  <c r="R40" i="58"/>
  <c r="R39" i="58"/>
  <c r="R38" i="58"/>
  <c r="R37" i="58"/>
  <c r="R36" i="58"/>
  <c r="R35" i="58"/>
  <c r="R34" i="58"/>
  <c r="R33" i="58"/>
  <c r="R32" i="58"/>
  <c r="R31" i="58"/>
  <c r="R30" i="58"/>
  <c r="R22" i="58"/>
  <c r="R21" i="58"/>
  <c r="R20" i="58"/>
  <c r="R19" i="58"/>
  <c r="R18" i="58"/>
  <c r="R17" i="58"/>
  <c r="R16" i="58"/>
  <c r="R15" i="58"/>
  <c r="R14" i="58"/>
  <c r="R13" i="58"/>
  <c r="R12" i="58"/>
  <c r="R11" i="58"/>
  <c r="R10" i="58"/>
  <c r="R9" i="58"/>
  <c r="R8" i="58"/>
  <c r="R7" i="58"/>
  <c r="N2" i="58"/>
  <c r="H2" i="58"/>
  <c r="R91" i="57"/>
  <c r="R90" i="57"/>
  <c r="R89" i="57"/>
  <c r="R88" i="57"/>
  <c r="R87" i="57"/>
  <c r="R86" i="57"/>
  <c r="R85" i="57"/>
  <c r="R84" i="57"/>
  <c r="R83" i="57"/>
  <c r="R82" i="57"/>
  <c r="R81" i="57"/>
  <c r="R80" i="57"/>
  <c r="R79" i="57"/>
  <c r="R78" i="57"/>
  <c r="R77" i="57"/>
  <c r="R76" i="57"/>
  <c r="R68" i="57"/>
  <c r="R67" i="57"/>
  <c r="R66" i="57"/>
  <c r="R65" i="57"/>
  <c r="R64" i="57"/>
  <c r="R63" i="57"/>
  <c r="R62" i="57"/>
  <c r="R61" i="57"/>
  <c r="R60" i="57"/>
  <c r="R59" i="57"/>
  <c r="R58" i="57"/>
  <c r="R57" i="57"/>
  <c r="R56" i="57"/>
  <c r="R55" i="57"/>
  <c r="R54" i="57"/>
  <c r="R53" i="57"/>
  <c r="R69" i="57" s="1"/>
  <c r="R45" i="57"/>
  <c r="R44" i="57"/>
  <c r="R43" i="57"/>
  <c r="R42" i="57"/>
  <c r="R41" i="57"/>
  <c r="R40" i="57"/>
  <c r="R39" i="57"/>
  <c r="R38" i="57"/>
  <c r="R37" i="57"/>
  <c r="R36" i="57"/>
  <c r="R35" i="57"/>
  <c r="R34" i="57"/>
  <c r="R33" i="57"/>
  <c r="R32" i="57"/>
  <c r="R31" i="57"/>
  <c r="R30" i="57"/>
  <c r="R46" i="57" s="1"/>
  <c r="R22" i="57"/>
  <c r="R21" i="57"/>
  <c r="R20" i="57"/>
  <c r="R19" i="57"/>
  <c r="R18" i="57"/>
  <c r="R17" i="57"/>
  <c r="R16" i="57"/>
  <c r="R15" i="57"/>
  <c r="R14" i="57"/>
  <c r="R13" i="57"/>
  <c r="R12" i="57"/>
  <c r="R11" i="57"/>
  <c r="R10" i="57"/>
  <c r="R9" i="57"/>
  <c r="R8" i="57"/>
  <c r="R7" i="57"/>
  <c r="N2" i="57"/>
  <c r="H2" i="57"/>
  <c r="R45" i="56"/>
  <c r="R44" i="56"/>
  <c r="R43" i="56"/>
  <c r="R42" i="56"/>
  <c r="R41" i="56"/>
  <c r="R40" i="56"/>
  <c r="R39" i="56"/>
  <c r="R38" i="56"/>
  <c r="R37" i="56"/>
  <c r="R36" i="56"/>
  <c r="R35" i="56"/>
  <c r="R34" i="56"/>
  <c r="R33" i="56"/>
  <c r="R32" i="56"/>
  <c r="R31" i="56"/>
  <c r="R30" i="56"/>
  <c r="R22" i="56"/>
  <c r="R21" i="56"/>
  <c r="R20" i="56"/>
  <c r="R19" i="56"/>
  <c r="R18" i="56"/>
  <c r="R17" i="56"/>
  <c r="R16" i="56"/>
  <c r="R15" i="56"/>
  <c r="R14" i="56"/>
  <c r="R13" i="56"/>
  <c r="R12" i="56"/>
  <c r="R11" i="56"/>
  <c r="R10" i="56"/>
  <c r="R9" i="56"/>
  <c r="R8" i="56"/>
  <c r="R7" i="56"/>
  <c r="N2" i="56"/>
  <c r="H2" i="56"/>
  <c r="M46" i="55"/>
  <c r="K46" i="55"/>
  <c r="M45" i="55"/>
  <c r="N45" i="55" s="1"/>
  <c r="K45" i="55"/>
  <c r="K44" i="55"/>
  <c r="M44" i="55" s="1"/>
  <c r="M43" i="55"/>
  <c r="K43" i="55"/>
  <c r="M42" i="55"/>
  <c r="K42" i="55"/>
  <c r="N41" i="55"/>
  <c r="M41" i="55"/>
  <c r="O41" i="55" s="1"/>
  <c r="K41" i="55"/>
  <c r="M40" i="55"/>
  <c r="K40" i="55"/>
  <c r="K39" i="55"/>
  <c r="M39" i="55" s="1"/>
  <c r="N39" i="55" s="1"/>
  <c r="J38" i="55"/>
  <c r="K38" i="55" s="1"/>
  <c r="M38" i="55" s="1"/>
  <c r="O37" i="55"/>
  <c r="N37" i="55"/>
  <c r="M37" i="55"/>
  <c r="K37" i="55"/>
  <c r="J37" i="55"/>
  <c r="J36" i="55"/>
  <c r="K36" i="55" s="1"/>
  <c r="K35" i="55" s="1"/>
  <c r="L35" i="55" s="1"/>
  <c r="M32" i="55"/>
  <c r="K32" i="55"/>
  <c r="M31" i="55"/>
  <c r="K31" i="55"/>
  <c r="N30" i="55"/>
  <c r="M30" i="55"/>
  <c r="O30" i="55" s="1"/>
  <c r="K30" i="55"/>
  <c r="J30" i="55"/>
  <c r="M29" i="55"/>
  <c r="K29" i="55"/>
  <c r="N28" i="55"/>
  <c r="M28" i="55"/>
  <c r="O28" i="55" s="1"/>
  <c r="K28" i="55"/>
  <c r="J28" i="55"/>
  <c r="N27" i="55"/>
  <c r="K27" i="55"/>
  <c r="M27" i="55" s="1"/>
  <c r="O27" i="55" s="1"/>
  <c r="O26" i="55"/>
  <c r="N26" i="55"/>
  <c r="M26" i="55"/>
  <c r="K26" i="55"/>
  <c r="K25" i="55"/>
  <c r="M25" i="55" s="1"/>
  <c r="O24" i="55"/>
  <c r="N24" i="55"/>
  <c r="M24" i="55"/>
  <c r="K24" i="55"/>
  <c r="N23" i="55"/>
  <c r="K23" i="55"/>
  <c r="M23" i="55" s="1"/>
  <c r="O23" i="55" s="1"/>
  <c r="O22" i="55"/>
  <c r="N22" i="55"/>
  <c r="M22" i="55"/>
  <c r="K22" i="55"/>
  <c r="K21" i="55"/>
  <c r="M21" i="55" s="1"/>
  <c r="O21" i="55" s="1"/>
  <c r="O20" i="55"/>
  <c r="N20" i="55"/>
  <c r="M20" i="55"/>
  <c r="K20" i="55"/>
  <c r="N19" i="55"/>
  <c r="K19" i="55"/>
  <c r="M19" i="55" s="1"/>
  <c r="O19" i="55" s="1"/>
  <c r="O18" i="55"/>
  <c r="N18" i="55"/>
  <c r="M18" i="55"/>
  <c r="K18" i="55"/>
  <c r="K17" i="55"/>
  <c r="M17" i="55" s="1"/>
  <c r="O16" i="55"/>
  <c r="N16" i="55"/>
  <c r="M16" i="55"/>
  <c r="K16" i="55"/>
  <c r="N15" i="55"/>
  <c r="K15" i="55"/>
  <c r="M15" i="55" s="1"/>
  <c r="O15" i="55" s="1"/>
  <c r="O14" i="55"/>
  <c r="N14" i="55"/>
  <c r="M14" i="55"/>
  <c r="K14" i="55"/>
  <c r="L12" i="55"/>
  <c r="K12" i="55"/>
  <c r="I12" i="55"/>
  <c r="G12" i="55" s="1"/>
  <c r="E12" i="55"/>
  <c r="H12" i="55" s="1"/>
  <c r="E9" i="55"/>
  <c r="O7" i="55"/>
  <c r="H7" i="55"/>
  <c r="D7" i="55"/>
  <c r="H5" i="55"/>
  <c r="D5" i="55"/>
  <c r="H3" i="55"/>
  <c r="D3" i="55"/>
  <c r="K37" i="54"/>
  <c r="M37" i="54" s="1"/>
  <c r="K36" i="54"/>
  <c r="M36" i="54" s="1"/>
  <c r="O36" i="54" s="1"/>
  <c r="O35" i="54"/>
  <c r="K35" i="54"/>
  <c r="M35" i="54" s="1"/>
  <c r="N35" i="54" s="1"/>
  <c r="K34" i="54"/>
  <c r="M34" i="54" s="1"/>
  <c r="O33" i="54"/>
  <c r="K33" i="54"/>
  <c r="M33" i="54" s="1"/>
  <c r="N33" i="54" s="1"/>
  <c r="K32" i="54"/>
  <c r="M32" i="54" s="1"/>
  <c r="O32" i="54" s="1"/>
  <c r="O31" i="54"/>
  <c r="K31" i="54"/>
  <c r="M31" i="54" s="1"/>
  <c r="N31" i="54" s="1"/>
  <c r="K30" i="54"/>
  <c r="M30" i="54" s="1"/>
  <c r="O29" i="54"/>
  <c r="K29" i="54"/>
  <c r="M29" i="54" s="1"/>
  <c r="N29" i="54" s="1"/>
  <c r="J29" i="54"/>
  <c r="K28" i="54"/>
  <c r="M28" i="54" s="1"/>
  <c r="N28" i="54" s="1"/>
  <c r="J28" i="54"/>
  <c r="K27" i="54"/>
  <c r="J27" i="54"/>
  <c r="K23" i="54"/>
  <c r="M23" i="54" s="1"/>
  <c r="O23" i="54" s="1"/>
  <c r="K22" i="54"/>
  <c r="M22" i="54" s="1"/>
  <c r="N22" i="54" s="1"/>
  <c r="N21" i="54"/>
  <c r="K21" i="54"/>
  <c r="M21" i="54" s="1"/>
  <c r="O21" i="54" s="1"/>
  <c r="O20" i="54"/>
  <c r="K20" i="54"/>
  <c r="M20" i="54" s="1"/>
  <c r="N20" i="54" s="1"/>
  <c r="K19" i="54"/>
  <c r="M19" i="54" s="1"/>
  <c r="O19" i="54" s="1"/>
  <c r="K18" i="54"/>
  <c r="M18" i="54" s="1"/>
  <c r="N18" i="54" s="1"/>
  <c r="K17" i="54"/>
  <c r="M17" i="54" s="1"/>
  <c r="O17" i="54" s="1"/>
  <c r="O16" i="54"/>
  <c r="K16" i="54"/>
  <c r="M16" i="54" s="1"/>
  <c r="N16" i="54" s="1"/>
  <c r="K15" i="54"/>
  <c r="M15" i="54" s="1"/>
  <c r="O15" i="54" s="1"/>
  <c r="K14" i="54"/>
  <c r="K12" i="54"/>
  <c r="I12" i="54"/>
  <c r="G12" i="54"/>
  <c r="H12" i="54" s="1"/>
  <c r="E12" i="54"/>
  <c r="E9" i="54"/>
  <c r="O7" i="54"/>
  <c r="H7" i="54"/>
  <c r="D7" i="54"/>
  <c r="H5" i="54"/>
  <c r="D5" i="54"/>
  <c r="H3" i="54"/>
  <c r="D3" i="54"/>
  <c r="H62" i="53"/>
  <c r="J62" i="53" s="1"/>
  <c r="J61" i="53"/>
  <c r="H61" i="53"/>
  <c r="H60" i="53"/>
  <c r="J60" i="53" s="1"/>
  <c r="L60" i="53" s="1"/>
  <c r="J59" i="53"/>
  <c r="H59" i="53"/>
  <c r="H58" i="53"/>
  <c r="J58" i="53" s="1"/>
  <c r="J57" i="53"/>
  <c r="H57" i="53"/>
  <c r="H56" i="53"/>
  <c r="J56" i="53" s="1"/>
  <c r="L56" i="53" s="1"/>
  <c r="J55" i="53"/>
  <c r="H55" i="53"/>
  <c r="H54" i="53"/>
  <c r="J54" i="53" s="1"/>
  <c r="J53" i="53"/>
  <c r="H53" i="53"/>
  <c r="K50" i="53"/>
  <c r="L50" i="53" s="1"/>
  <c r="J50" i="53"/>
  <c r="H50" i="53"/>
  <c r="J49" i="53"/>
  <c r="K49" i="53" s="1"/>
  <c r="L49" i="53" s="1"/>
  <c r="H49" i="53"/>
  <c r="K48" i="53"/>
  <c r="L48" i="53" s="1"/>
  <c r="J48" i="53"/>
  <c r="H48" i="53"/>
  <c r="J47" i="53"/>
  <c r="K47" i="53" s="1"/>
  <c r="L47" i="53" s="1"/>
  <c r="H47" i="53"/>
  <c r="K46" i="53"/>
  <c r="L46" i="53" s="1"/>
  <c r="J46" i="53"/>
  <c r="H46" i="53"/>
  <c r="J45" i="53"/>
  <c r="K45" i="53" s="1"/>
  <c r="L45" i="53" s="1"/>
  <c r="H45" i="53"/>
  <c r="K44" i="53"/>
  <c r="L44" i="53" s="1"/>
  <c r="J44" i="53"/>
  <c r="H44" i="53"/>
  <c r="J43" i="53"/>
  <c r="K43" i="53" s="1"/>
  <c r="L43" i="53" s="1"/>
  <c r="H43" i="53"/>
  <c r="K42" i="53"/>
  <c r="L42" i="53" s="1"/>
  <c r="J42" i="53"/>
  <c r="H42" i="53"/>
  <c r="L41" i="53"/>
  <c r="J41" i="53"/>
  <c r="K41" i="53" s="1"/>
  <c r="H41" i="53"/>
  <c r="K40" i="53"/>
  <c r="L40" i="53" s="1"/>
  <c r="J40" i="53"/>
  <c r="H40" i="53"/>
  <c r="J39" i="53"/>
  <c r="K39" i="53" s="1"/>
  <c r="L39" i="53" s="1"/>
  <c r="H39" i="53"/>
  <c r="K37" i="53"/>
  <c r="L37" i="53" s="1"/>
  <c r="J37" i="53"/>
  <c r="H37" i="53"/>
  <c r="J36" i="53"/>
  <c r="K36" i="53" s="1"/>
  <c r="L36" i="53" s="1"/>
  <c r="H36" i="53"/>
  <c r="K35" i="53"/>
  <c r="L35" i="53" s="1"/>
  <c r="J35" i="53"/>
  <c r="H35" i="53"/>
  <c r="H33" i="53"/>
  <c r="J33" i="53" s="1"/>
  <c r="K33" i="53" s="1"/>
  <c r="L33" i="53" s="1"/>
  <c r="G33" i="53"/>
  <c r="H32" i="53"/>
  <c r="J32" i="53" s="1"/>
  <c r="K32" i="53" s="1"/>
  <c r="L32" i="53" s="1"/>
  <c r="G32" i="53"/>
  <c r="K31" i="53"/>
  <c r="L31" i="53" s="1"/>
  <c r="J31" i="53"/>
  <c r="H30" i="53"/>
  <c r="J30" i="53" s="1"/>
  <c r="K30" i="53" s="1"/>
  <c r="L30" i="53" s="1"/>
  <c r="J29" i="53"/>
  <c r="K29" i="53" s="1"/>
  <c r="L29" i="53" s="1"/>
  <c r="H29" i="53"/>
  <c r="L28" i="53"/>
  <c r="H28" i="53"/>
  <c r="J28" i="53" s="1"/>
  <c r="K28" i="53" s="1"/>
  <c r="J27" i="53"/>
  <c r="K27" i="53" s="1"/>
  <c r="L27" i="53" s="1"/>
  <c r="H27" i="53"/>
  <c r="H26" i="53"/>
  <c r="J26" i="53" s="1"/>
  <c r="K26" i="53" s="1"/>
  <c r="L26" i="53" s="1"/>
  <c r="J25" i="53"/>
  <c r="K25" i="53" s="1"/>
  <c r="L25" i="53" s="1"/>
  <c r="H25" i="53"/>
  <c r="L24" i="53"/>
  <c r="K24" i="53"/>
  <c r="G23" i="53"/>
  <c r="H23" i="53" s="1"/>
  <c r="J23" i="53" s="1"/>
  <c r="K23" i="53" s="1"/>
  <c r="L23" i="53" s="1"/>
  <c r="G22" i="53"/>
  <c r="H22" i="53" s="1"/>
  <c r="J22" i="53" s="1"/>
  <c r="K22" i="53" s="1"/>
  <c r="L22" i="53" s="1"/>
  <c r="G21" i="53"/>
  <c r="H21" i="53" s="1"/>
  <c r="J21" i="53" s="1"/>
  <c r="K21" i="53" s="1"/>
  <c r="L21" i="53" s="1"/>
  <c r="J20" i="53"/>
  <c r="K20" i="53" s="1"/>
  <c r="L20" i="53" s="1"/>
  <c r="H20" i="53"/>
  <c r="G20" i="53"/>
  <c r="G19" i="53"/>
  <c r="H19" i="53" s="1"/>
  <c r="J19" i="53" s="1"/>
  <c r="K19" i="53" s="1"/>
  <c r="L19" i="53" s="1"/>
  <c r="H18" i="53"/>
  <c r="J18" i="53" s="1"/>
  <c r="K18" i="53" s="1"/>
  <c r="L18" i="53" s="1"/>
  <c r="G18" i="53"/>
  <c r="L17" i="53"/>
  <c r="H17" i="53"/>
  <c r="J17" i="53" s="1"/>
  <c r="K17" i="53" s="1"/>
  <c r="G17" i="53"/>
  <c r="H16" i="53"/>
  <c r="J16" i="53" s="1"/>
  <c r="K16" i="53" s="1"/>
  <c r="L16" i="53" s="1"/>
  <c r="G16" i="53"/>
  <c r="G15" i="53"/>
  <c r="H15" i="53" s="1"/>
  <c r="D9" i="53"/>
  <c r="L7" i="53"/>
  <c r="G7" i="53"/>
  <c r="C7" i="53"/>
  <c r="G5" i="53"/>
  <c r="C5" i="53"/>
  <c r="G3" i="53"/>
  <c r="C3" i="53"/>
  <c r="J61" i="52"/>
  <c r="H61" i="52"/>
  <c r="H60" i="52"/>
  <c r="J60" i="52" s="1"/>
  <c r="J59" i="52"/>
  <c r="H59" i="52"/>
  <c r="H58" i="52"/>
  <c r="J58" i="52" s="1"/>
  <c r="L58" i="52" s="1"/>
  <c r="J57" i="52"/>
  <c r="H57" i="52"/>
  <c r="H56" i="52"/>
  <c r="J56" i="52" s="1"/>
  <c r="J55" i="52"/>
  <c r="H55" i="52"/>
  <c r="H54" i="52"/>
  <c r="J54" i="52" s="1"/>
  <c r="L54" i="52" s="1"/>
  <c r="J53" i="52"/>
  <c r="H53" i="52"/>
  <c r="H52" i="52"/>
  <c r="L49" i="52"/>
  <c r="J49" i="52"/>
  <c r="K49" i="52" s="1"/>
  <c r="H49" i="52"/>
  <c r="K48" i="52"/>
  <c r="L48" i="52" s="1"/>
  <c r="J48" i="52"/>
  <c r="H48" i="52"/>
  <c r="L47" i="52"/>
  <c r="J47" i="52"/>
  <c r="K47" i="52" s="1"/>
  <c r="H47" i="52"/>
  <c r="K46" i="52"/>
  <c r="L46" i="52" s="1"/>
  <c r="J46" i="52"/>
  <c r="H46" i="52"/>
  <c r="J45" i="52"/>
  <c r="K45" i="52" s="1"/>
  <c r="L45" i="52" s="1"/>
  <c r="H45" i="52"/>
  <c r="S44" i="52"/>
  <c r="H44" i="52"/>
  <c r="J44" i="52" s="1"/>
  <c r="K44" i="52" s="1"/>
  <c r="L44" i="52" s="1"/>
  <c r="S43" i="52"/>
  <c r="L43" i="52"/>
  <c r="H43" i="52"/>
  <c r="J43" i="52" s="1"/>
  <c r="K43" i="52" s="1"/>
  <c r="S42" i="52"/>
  <c r="H42" i="52"/>
  <c r="J42" i="52" s="1"/>
  <c r="K42" i="52" s="1"/>
  <c r="L42" i="52" s="1"/>
  <c r="S41" i="52"/>
  <c r="K41" i="52"/>
  <c r="L41" i="52" s="1"/>
  <c r="J41" i="52"/>
  <c r="H41" i="52"/>
  <c r="S40" i="52"/>
  <c r="H40" i="52"/>
  <c r="J40" i="52" s="1"/>
  <c r="K40" i="52" s="1"/>
  <c r="L40" i="52" s="1"/>
  <c r="S39" i="52"/>
  <c r="J39" i="52"/>
  <c r="K39" i="52" s="1"/>
  <c r="L39" i="52" s="1"/>
  <c r="H39" i="52"/>
  <c r="S38" i="52"/>
  <c r="J38" i="52"/>
  <c r="K38" i="52" s="1"/>
  <c r="L38" i="52" s="1"/>
  <c r="H38" i="52"/>
  <c r="H36" i="52"/>
  <c r="J36" i="52" s="1"/>
  <c r="K36" i="52" s="1"/>
  <c r="L36" i="52" s="1"/>
  <c r="J35" i="52"/>
  <c r="K35" i="52" s="1"/>
  <c r="L35" i="52" s="1"/>
  <c r="H35" i="52"/>
  <c r="H34" i="52"/>
  <c r="J34" i="52" s="1"/>
  <c r="K34" i="52" s="1"/>
  <c r="L34" i="52" s="1"/>
  <c r="G32" i="52"/>
  <c r="H32" i="52" s="1"/>
  <c r="J32" i="52" s="1"/>
  <c r="K32" i="52" s="1"/>
  <c r="L32" i="52" s="1"/>
  <c r="L31" i="52"/>
  <c r="H31" i="52"/>
  <c r="J31" i="52" s="1"/>
  <c r="K31" i="52" s="1"/>
  <c r="G31" i="52"/>
  <c r="J30" i="52"/>
  <c r="K30" i="52" s="1"/>
  <c r="L30" i="52" s="1"/>
  <c r="H29" i="52"/>
  <c r="J29" i="52" s="1"/>
  <c r="K29" i="52" s="1"/>
  <c r="L29" i="52" s="1"/>
  <c r="H28" i="52"/>
  <c r="J28" i="52" s="1"/>
  <c r="K28" i="52" s="1"/>
  <c r="L28" i="52" s="1"/>
  <c r="H27" i="52"/>
  <c r="J27" i="52" s="1"/>
  <c r="K27" i="52" s="1"/>
  <c r="L27" i="52" s="1"/>
  <c r="H26" i="52"/>
  <c r="J26" i="52" s="1"/>
  <c r="K26" i="52" s="1"/>
  <c r="L26" i="52" s="1"/>
  <c r="H25" i="52"/>
  <c r="J25" i="52" s="1"/>
  <c r="K25" i="52" s="1"/>
  <c r="L25" i="52" s="1"/>
  <c r="H24" i="52"/>
  <c r="J24" i="52" s="1"/>
  <c r="K24" i="52" s="1"/>
  <c r="L24" i="52" s="1"/>
  <c r="L23" i="52"/>
  <c r="K23" i="52"/>
  <c r="J23" i="52"/>
  <c r="G22" i="52"/>
  <c r="H22" i="52" s="1"/>
  <c r="J22" i="52" s="1"/>
  <c r="K22" i="52" s="1"/>
  <c r="L22" i="52" s="1"/>
  <c r="L21" i="52"/>
  <c r="H21" i="52"/>
  <c r="J21" i="52" s="1"/>
  <c r="K21" i="52" s="1"/>
  <c r="G21" i="52"/>
  <c r="H20" i="52"/>
  <c r="J20" i="52" s="1"/>
  <c r="K20" i="52" s="1"/>
  <c r="L20" i="52" s="1"/>
  <c r="J19" i="52"/>
  <c r="K19" i="52" s="1"/>
  <c r="L19" i="52" s="1"/>
  <c r="H19" i="52"/>
  <c r="H18" i="52"/>
  <c r="J18" i="52" s="1"/>
  <c r="K18" i="52" s="1"/>
  <c r="L18" i="52" s="1"/>
  <c r="J17" i="52"/>
  <c r="H17" i="52"/>
  <c r="H16" i="52"/>
  <c r="J16" i="52" s="1"/>
  <c r="K16" i="52" s="1"/>
  <c r="L16" i="52" s="1"/>
  <c r="J15" i="52"/>
  <c r="K15" i="52" s="1"/>
  <c r="G15" i="52"/>
  <c r="H15" i="52" s="1"/>
  <c r="D9" i="52"/>
  <c r="L7" i="52"/>
  <c r="G7" i="52"/>
  <c r="C7" i="52"/>
  <c r="G5" i="52"/>
  <c r="C5" i="52"/>
  <c r="G3" i="52"/>
  <c r="C3" i="52"/>
  <c r="G55" i="51"/>
  <c r="I55" i="51" s="1"/>
  <c r="J55" i="51" s="1"/>
  <c r="G54" i="51"/>
  <c r="I54" i="51" s="1"/>
  <c r="K54" i="51" s="1"/>
  <c r="G53" i="51"/>
  <c r="I53" i="51" s="1"/>
  <c r="J53" i="51" s="1"/>
  <c r="J52" i="51"/>
  <c r="G52" i="51"/>
  <c r="I52" i="51" s="1"/>
  <c r="K52" i="51" s="1"/>
  <c r="G51" i="51"/>
  <c r="I51" i="51" s="1"/>
  <c r="J51" i="51" s="1"/>
  <c r="F51" i="51"/>
  <c r="K50" i="51"/>
  <c r="G50" i="51"/>
  <c r="I50" i="51" s="1"/>
  <c r="J50" i="51" s="1"/>
  <c r="F50" i="51"/>
  <c r="J49" i="51"/>
  <c r="G49" i="51"/>
  <c r="I49" i="51" s="1"/>
  <c r="K49" i="51" s="1"/>
  <c r="F49" i="51"/>
  <c r="J48" i="51"/>
  <c r="F48" i="51"/>
  <c r="G48" i="51" s="1"/>
  <c r="I48" i="51" s="1"/>
  <c r="K48" i="51" s="1"/>
  <c r="J47" i="51"/>
  <c r="F47" i="51"/>
  <c r="G47" i="51" s="1"/>
  <c r="I47" i="51" s="1"/>
  <c r="K47" i="51" s="1"/>
  <c r="F46" i="51"/>
  <c r="G46" i="51" s="1"/>
  <c r="I45" i="51"/>
  <c r="G45" i="51"/>
  <c r="F45" i="51"/>
  <c r="I44" i="51"/>
  <c r="J44" i="51" s="1"/>
  <c r="F44" i="51"/>
  <c r="G44" i="51" s="1"/>
  <c r="K41" i="51"/>
  <c r="G41" i="51"/>
  <c r="I41" i="51" s="1"/>
  <c r="J41" i="51" s="1"/>
  <c r="F40" i="51"/>
  <c r="G40" i="51" s="1"/>
  <c r="I40" i="51" s="1"/>
  <c r="I39" i="51"/>
  <c r="G39" i="51"/>
  <c r="F39" i="51"/>
  <c r="K38" i="51"/>
  <c r="I38" i="51"/>
  <c r="J38" i="51" s="1"/>
  <c r="F38" i="51"/>
  <c r="G38" i="51" s="1"/>
  <c r="G37" i="51"/>
  <c r="I37" i="51" s="1"/>
  <c r="J37" i="51" s="1"/>
  <c r="J36" i="51"/>
  <c r="F36" i="51"/>
  <c r="G36" i="51" s="1"/>
  <c r="I36" i="51" s="1"/>
  <c r="K36" i="51" s="1"/>
  <c r="F35" i="51"/>
  <c r="G35" i="51" s="1"/>
  <c r="I35" i="51" s="1"/>
  <c r="I34" i="51"/>
  <c r="G34" i="51"/>
  <c r="G33" i="51"/>
  <c r="I33" i="51" s="1"/>
  <c r="K33" i="51" s="1"/>
  <c r="I32" i="51"/>
  <c r="G32" i="51"/>
  <c r="G31" i="51"/>
  <c r="I31" i="51" s="1"/>
  <c r="F31" i="51"/>
  <c r="F30" i="51"/>
  <c r="G30" i="51" s="1"/>
  <c r="I30" i="51" s="1"/>
  <c r="K30" i="51" s="1"/>
  <c r="F29" i="51"/>
  <c r="G29" i="51" s="1"/>
  <c r="I29" i="51" s="1"/>
  <c r="K29" i="51" s="1"/>
  <c r="F28" i="51"/>
  <c r="G28" i="51" s="1"/>
  <c r="I28" i="51" s="1"/>
  <c r="I27" i="51"/>
  <c r="G27" i="51"/>
  <c r="F27" i="51"/>
  <c r="F26" i="51"/>
  <c r="G26" i="51" s="1"/>
  <c r="I26" i="51" s="1"/>
  <c r="G25" i="51"/>
  <c r="I25" i="51" s="1"/>
  <c r="J25" i="51" s="1"/>
  <c r="F25" i="51"/>
  <c r="K24" i="51"/>
  <c r="G24" i="51"/>
  <c r="I24" i="51" s="1"/>
  <c r="J24" i="51" s="1"/>
  <c r="F24" i="51"/>
  <c r="G23" i="51"/>
  <c r="I23" i="51" s="1"/>
  <c r="K23" i="51" s="1"/>
  <c r="F23" i="51"/>
  <c r="F22" i="51"/>
  <c r="G22" i="51" s="1"/>
  <c r="I22" i="51" s="1"/>
  <c r="J21" i="51"/>
  <c r="F21" i="51"/>
  <c r="G21" i="51" s="1"/>
  <c r="I21" i="51" s="1"/>
  <c r="K21" i="51" s="1"/>
  <c r="F20" i="51"/>
  <c r="G20" i="51" s="1"/>
  <c r="I20" i="51" s="1"/>
  <c r="I19" i="51"/>
  <c r="G19" i="51"/>
  <c r="F19" i="51"/>
  <c r="K18" i="51"/>
  <c r="I18" i="51"/>
  <c r="J18" i="51" s="1"/>
  <c r="G18" i="51"/>
  <c r="I17" i="51"/>
  <c r="J17" i="51" s="1"/>
  <c r="F16" i="51"/>
  <c r="G16" i="51" s="1"/>
  <c r="I16" i="51" s="1"/>
  <c r="I15" i="51"/>
  <c r="G15" i="51"/>
  <c r="F15" i="51"/>
  <c r="F14" i="51"/>
  <c r="G14" i="51" s="1"/>
  <c r="D10" i="51"/>
  <c r="K7" i="51"/>
  <c r="F7" i="51"/>
  <c r="C7" i="51"/>
  <c r="F5" i="51"/>
  <c r="C5" i="51"/>
  <c r="F3" i="51"/>
  <c r="C3" i="51"/>
  <c r="J66" i="50"/>
  <c r="C73" i="50" s="1"/>
  <c r="I66" i="50"/>
  <c r="K66" i="50" s="1"/>
  <c r="G66" i="50"/>
  <c r="K65" i="50"/>
  <c r="I65" i="50"/>
  <c r="J65" i="50" s="1"/>
  <c r="G65" i="50"/>
  <c r="J64" i="50"/>
  <c r="I64" i="50"/>
  <c r="K64" i="50" s="1"/>
  <c r="G64" i="50"/>
  <c r="K63" i="50"/>
  <c r="I63" i="50"/>
  <c r="J63" i="50" s="1"/>
  <c r="G63" i="50"/>
  <c r="J62" i="50"/>
  <c r="I62" i="50"/>
  <c r="K62" i="50" s="1"/>
  <c r="G62" i="50"/>
  <c r="K61" i="50"/>
  <c r="I61" i="50"/>
  <c r="J61" i="50" s="1"/>
  <c r="G61" i="50"/>
  <c r="J60" i="50"/>
  <c r="I60" i="50"/>
  <c r="K60" i="50" s="1"/>
  <c r="G60" i="50"/>
  <c r="I59" i="50"/>
  <c r="G59" i="50"/>
  <c r="F58" i="50"/>
  <c r="G58" i="50" s="1"/>
  <c r="I58" i="50" s="1"/>
  <c r="K58" i="50" s="1"/>
  <c r="F57" i="50"/>
  <c r="G57" i="50" s="1"/>
  <c r="I57" i="50" s="1"/>
  <c r="K57" i="50" s="1"/>
  <c r="J54" i="50"/>
  <c r="O54" i="50" s="1"/>
  <c r="I54" i="50"/>
  <c r="K54" i="50" s="1"/>
  <c r="G54" i="50"/>
  <c r="G53" i="50"/>
  <c r="I53" i="50" s="1"/>
  <c r="K53" i="50" s="1"/>
  <c r="I52" i="50"/>
  <c r="G52" i="50"/>
  <c r="I51" i="50"/>
  <c r="G51" i="50"/>
  <c r="I50" i="50"/>
  <c r="J50" i="50" s="1"/>
  <c r="O50" i="50" s="1"/>
  <c r="G50" i="50"/>
  <c r="G49" i="50"/>
  <c r="I49" i="50" s="1"/>
  <c r="K48" i="50"/>
  <c r="G48" i="50"/>
  <c r="I48" i="50" s="1"/>
  <c r="J48" i="50" s="1"/>
  <c r="P48" i="50" s="1"/>
  <c r="J47" i="50"/>
  <c r="P47" i="50" s="1"/>
  <c r="G47" i="50"/>
  <c r="I47" i="50" s="1"/>
  <c r="K47" i="50" s="1"/>
  <c r="J46" i="50"/>
  <c r="P46" i="50" s="1"/>
  <c r="I46" i="50"/>
  <c r="K46" i="50" s="1"/>
  <c r="G46" i="50"/>
  <c r="P45" i="50"/>
  <c r="J45" i="50"/>
  <c r="G45" i="50"/>
  <c r="I45" i="50" s="1"/>
  <c r="K45" i="50" s="1"/>
  <c r="I44" i="50"/>
  <c r="G44" i="50"/>
  <c r="I43" i="50"/>
  <c r="G43" i="50"/>
  <c r="K42" i="50"/>
  <c r="I42" i="50"/>
  <c r="J42" i="50" s="1"/>
  <c r="P42" i="50" s="1"/>
  <c r="G42" i="50"/>
  <c r="G41" i="50"/>
  <c r="I41" i="50" s="1"/>
  <c r="J41" i="50" s="1"/>
  <c r="P41" i="50" s="1"/>
  <c r="G40" i="50"/>
  <c r="I40" i="50" s="1"/>
  <c r="J40" i="50" s="1"/>
  <c r="P40" i="50" s="1"/>
  <c r="G39" i="50"/>
  <c r="I39" i="50" s="1"/>
  <c r="K39" i="50" s="1"/>
  <c r="J38" i="50"/>
  <c r="N38" i="50" s="1"/>
  <c r="I38" i="50"/>
  <c r="K38" i="50" s="1"/>
  <c r="G38" i="50"/>
  <c r="G37" i="50"/>
  <c r="I37" i="50" s="1"/>
  <c r="K37" i="50" s="1"/>
  <c r="I36" i="50"/>
  <c r="F36" i="50"/>
  <c r="G36" i="50" s="1"/>
  <c r="J35" i="50"/>
  <c r="N35" i="50" s="1"/>
  <c r="I35" i="50"/>
  <c r="K35" i="50" s="1"/>
  <c r="G35" i="50"/>
  <c r="G34" i="50"/>
  <c r="I34" i="50" s="1"/>
  <c r="I33" i="50"/>
  <c r="G33" i="50"/>
  <c r="I32" i="50"/>
  <c r="G32" i="50"/>
  <c r="I31" i="50"/>
  <c r="G31" i="50"/>
  <c r="G30" i="50"/>
  <c r="I30" i="50" s="1"/>
  <c r="J30" i="50" s="1"/>
  <c r="N30" i="50" s="1"/>
  <c r="G29" i="50"/>
  <c r="I29" i="50" s="1"/>
  <c r="J29" i="50" s="1"/>
  <c r="N29" i="50" s="1"/>
  <c r="G28" i="50"/>
  <c r="I28" i="50" s="1"/>
  <c r="K28" i="50" s="1"/>
  <c r="F28" i="50"/>
  <c r="K27" i="50"/>
  <c r="G27" i="50"/>
  <c r="I27" i="50" s="1"/>
  <c r="J27" i="50" s="1"/>
  <c r="N27" i="50" s="1"/>
  <c r="F27" i="50"/>
  <c r="I26" i="50"/>
  <c r="G26" i="50"/>
  <c r="F26" i="50"/>
  <c r="N25" i="50"/>
  <c r="J25" i="50"/>
  <c r="F25" i="50"/>
  <c r="G25" i="50" s="1"/>
  <c r="I25" i="50" s="1"/>
  <c r="K25" i="50" s="1"/>
  <c r="J24" i="50"/>
  <c r="M24" i="50" s="1"/>
  <c r="G24" i="50"/>
  <c r="I24" i="50" s="1"/>
  <c r="K24" i="50" s="1"/>
  <c r="J23" i="50"/>
  <c r="M23" i="50" s="1"/>
  <c r="I23" i="50"/>
  <c r="K23" i="50" s="1"/>
  <c r="G23" i="50"/>
  <c r="M22" i="50"/>
  <c r="J22" i="50"/>
  <c r="G22" i="50"/>
  <c r="I22" i="50" s="1"/>
  <c r="K22" i="50" s="1"/>
  <c r="I21" i="50"/>
  <c r="G21" i="50"/>
  <c r="I20" i="50"/>
  <c r="G20" i="50"/>
  <c r="K19" i="50"/>
  <c r="I19" i="50"/>
  <c r="J19" i="50" s="1"/>
  <c r="M19" i="50" s="1"/>
  <c r="F19" i="50"/>
  <c r="G19" i="50" s="1"/>
  <c r="I18" i="50"/>
  <c r="F18" i="50"/>
  <c r="G18" i="50" s="1"/>
  <c r="J17" i="50"/>
  <c r="M17" i="50" s="1"/>
  <c r="I17" i="50"/>
  <c r="K17" i="50" s="1"/>
  <c r="G17" i="50"/>
  <c r="M16" i="50"/>
  <c r="J16" i="50"/>
  <c r="G16" i="50"/>
  <c r="I16" i="50" s="1"/>
  <c r="K16" i="50" s="1"/>
  <c r="F15" i="50"/>
  <c r="G15" i="50" s="1"/>
  <c r="I15" i="50" s="1"/>
  <c r="J14" i="50"/>
  <c r="M14" i="50" s="1"/>
  <c r="F14" i="50"/>
  <c r="G14" i="50" s="1"/>
  <c r="I14" i="50" s="1"/>
  <c r="K14" i="50" s="1"/>
  <c r="G13" i="50"/>
  <c r="F13" i="50"/>
  <c r="D9" i="50"/>
  <c r="K7" i="50"/>
  <c r="F7" i="50"/>
  <c r="C7" i="50"/>
  <c r="F5" i="50"/>
  <c r="C5" i="50"/>
  <c r="F3" i="50"/>
  <c r="C3" i="50"/>
  <c r="K66" i="49"/>
  <c r="J66" i="49"/>
  <c r="G66" i="49"/>
  <c r="I66" i="49" s="1"/>
  <c r="J65" i="49"/>
  <c r="G65" i="49"/>
  <c r="I65" i="49" s="1"/>
  <c r="K65" i="49" s="1"/>
  <c r="J64" i="49"/>
  <c r="G64" i="49"/>
  <c r="I64" i="49" s="1"/>
  <c r="K64" i="49" s="1"/>
  <c r="J63" i="49"/>
  <c r="G63" i="49"/>
  <c r="I63" i="49" s="1"/>
  <c r="K63" i="49" s="1"/>
  <c r="J62" i="49"/>
  <c r="G62" i="49"/>
  <c r="I62" i="49" s="1"/>
  <c r="K62" i="49" s="1"/>
  <c r="G61" i="49"/>
  <c r="I61" i="49" s="1"/>
  <c r="K60" i="49"/>
  <c r="J60" i="49"/>
  <c r="G60" i="49"/>
  <c r="I60" i="49" s="1"/>
  <c r="G59" i="49"/>
  <c r="I59" i="49" s="1"/>
  <c r="K59" i="49" s="1"/>
  <c r="F59" i="49"/>
  <c r="F58" i="49"/>
  <c r="G58" i="49" s="1"/>
  <c r="G56" i="49" s="1"/>
  <c r="H56" i="49" s="1"/>
  <c r="J57" i="49"/>
  <c r="I57" i="49"/>
  <c r="K57" i="49" s="1"/>
  <c r="G57" i="49"/>
  <c r="F57" i="49"/>
  <c r="K54" i="49"/>
  <c r="J54" i="49"/>
  <c r="G54" i="49"/>
  <c r="I54" i="49" s="1"/>
  <c r="G53" i="49"/>
  <c r="I53" i="49" s="1"/>
  <c r="K53" i="49" s="1"/>
  <c r="G52" i="49"/>
  <c r="I52" i="49" s="1"/>
  <c r="J51" i="49"/>
  <c r="G51" i="49"/>
  <c r="I51" i="49" s="1"/>
  <c r="K51" i="49" s="1"/>
  <c r="G50" i="49"/>
  <c r="I50" i="49" s="1"/>
  <c r="K50" i="49" s="1"/>
  <c r="G49" i="49"/>
  <c r="I49" i="49" s="1"/>
  <c r="K49" i="49" s="1"/>
  <c r="K48" i="49"/>
  <c r="J48" i="49"/>
  <c r="G48" i="49"/>
  <c r="I48" i="49" s="1"/>
  <c r="J47" i="49"/>
  <c r="G47" i="49"/>
  <c r="I47" i="49" s="1"/>
  <c r="K47" i="49" s="1"/>
  <c r="K46" i="49"/>
  <c r="G46" i="49"/>
  <c r="I46" i="49" s="1"/>
  <c r="J46" i="49" s="1"/>
  <c r="G45" i="49"/>
  <c r="I45" i="49" s="1"/>
  <c r="K45" i="49" s="1"/>
  <c r="K44" i="49"/>
  <c r="J44" i="49"/>
  <c r="G44" i="49"/>
  <c r="I44" i="49" s="1"/>
  <c r="J43" i="49"/>
  <c r="G43" i="49"/>
  <c r="I43" i="49" s="1"/>
  <c r="K43" i="49" s="1"/>
  <c r="J42" i="49"/>
  <c r="G42" i="49"/>
  <c r="I42" i="49" s="1"/>
  <c r="K42" i="49" s="1"/>
  <c r="J41" i="49"/>
  <c r="G41" i="49"/>
  <c r="I41" i="49" s="1"/>
  <c r="K41" i="49" s="1"/>
  <c r="J40" i="49"/>
  <c r="G40" i="49"/>
  <c r="I40" i="49" s="1"/>
  <c r="K40" i="49" s="1"/>
  <c r="G39" i="49"/>
  <c r="I39" i="49" s="1"/>
  <c r="K38" i="49"/>
  <c r="J38" i="49"/>
  <c r="G38" i="49"/>
  <c r="I38" i="49" s="1"/>
  <c r="G37" i="49"/>
  <c r="I37" i="49" s="1"/>
  <c r="K37" i="49" s="1"/>
  <c r="G36" i="49"/>
  <c r="I36" i="49" s="1"/>
  <c r="F36" i="49"/>
  <c r="K35" i="49"/>
  <c r="I35" i="49"/>
  <c r="J35" i="49" s="1"/>
  <c r="G35" i="49"/>
  <c r="K34" i="49"/>
  <c r="I34" i="49"/>
  <c r="J34" i="49" s="1"/>
  <c r="G34" i="49"/>
  <c r="K33" i="49"/>
  <c r="I33" i="49"/>
  <c r="J33" i="49" s="1"/>
  <c r="G33" i="49"/>
  <c r="K32" i="49"/>
  <c r="I32" i="49"/>
  <c r="J32" i="49" s="1"/>
  <c r="G32" i="49"/>
  <c r="G31" i="49"/>
  <c r="I31" i="49" s="1"/>
  <c r="K30" i="49"/>
  <c r="I30" i="49"/>
  <c r="J30" i="49" s="1"/>
  <c r="G30" i="49"/>
  <c r="I29" i="49"/>
  <c r="J29" i="49" s="1"/>
  <c r="G29" i="49"/>
  <c r="I28" i="49"/>
  <c r="G28" i="49"/>
  <c r="K27" i="49"/>
  <c r="I27" i="49"/>
  <c r="J27" i="49" s="1"/>
  <c r="G27" i="49"/>
  <c r="K26" i="49"/>
  <c r="I26" i="49"/>
  <c r="J26" i="49" s="1"/>
  <c r="G26" i="49"/>
  <c r="K25" i="49"/>
  <c r="I25" i="49"/>
  <c r="J25" i="49" s="1"/>
  <c r="G25" i="49"/>
  <c r="K24" i="49"/>
  <c r="I24" i="49"/>
  <c r="J24" i="49" s="1"/>
  <c r="G24" i="49"/>
  <c r="G23" i="49"/>
  <c r="I23" i="49" s="1"/>
  <c r="K22" i="49"/>
  <c r="I22" i="49"/>
  <c r="J22" i="49" s="1"/>
  <c r="G22" i="49"/>
  <c r="I21" i="49"/>
  <c r="J21" i="49" s="1"/>
  <c r="G21" i="49"/>
  <c r="I20" i="49"/>
  <c r="G20" i="49"/>
  <c r="K19" i="49"/>
  <c r="I19" i="49"/>
  <c r="J19" i="49" s="1"/>
  <c r="G19" i="49"/>
  <c r="F18" i="49"/>
  <c r="G18" i="49" s="1"/>
  <c r="I18" i="49" s="1"/>
  <c r="I17" i="49"/>
  <c r="K17" i="49" s="1"/>
  <c r="G17" i="49"/>
  <c r="J16" i="49"/>
  <c r="G16" i="49"/>
  <c r="I16" i="49" s="1"/>
  <c r="K16" i="49" s="1"/>
  <c r="G15" i="49"/>
  <c r="I15" i="49" s="1"/>
  <c r="G14" i="49"/>
  <c r="J13" i="49"/>
  <c r="I13" i="49"/>
  <c r="G13" i="49"/>
  <c r="D9" i="49"/>
  <c r="K7" i="49"/>
  <c r="F7" i="49"/>
  <c r="C7" i="49"/>
  <c r="F5" i="49"/>
  <c r="C5" i="49"/>
  <c r="F3" i="49"/>
  <c r="C3" i="49"/>
  <c r="R91" i="48"/>
  <c r="R90" i="48"/>
  <c r="R89" i="48"/>
  <c r="R88" i="48"/>
  <c r="R87" i="48"/>
  <c r="R86" i="48"/>
  <c r="R85" i="48"/>
  <c r="R84" i="48"/>
  <c r="R83" i="48"/>
  <c r="R82" i="48"/>
  <c r="R81" i="48"/>
  <c r="R80" i="48"/>
  <c r="R79" i="48"/>
  <c r="R78" i="48"/>
  <c r="R77" i="48"/>
  <c r="R76" i="48"/>
  <c r="R68" i="48"/>
  <c r="R67" i="48"/>
  <c r="R66" i="48"/>
  <c r="R65" i="48"/>
  <c r="R64" i="48"/>
  <c r="R63" i="48"/>
  <c r="R62" i="48"/>
  <c r="R61" i="48"/>
  <c r="R60" i="48"/>
  <c r="R59" i="48"/>
  <c r="R58" i="48"/>
  <c r="R57" i="48"/>
  <c r="R56" i="48"/>
  <c r="R55" i="48"/>
  <c r="R54" i="48"/>
  <c r="R53" i="48"/>
  <c r="R69" i="48" s="1"/>
  <c r="R45" i="48"/>
  <c r="R44" i="48"/>
  <c r="R43" i="48"/>
  <c r="R42" i="48"/>
  <c r="R41" i="48"/>
  <c r="R40" i="48"/>
  <c r="R39" i="48"/>
  <c r="R38" i="48"/>
  <c r="R37" i="48"/>
  <c r="R36" i="48"/>
  <c r="R35" i="48"/>
  <c r="R34" i="48"/>
  <c r="R33" i="48"/>
  <c r="R32" i="48"/>
  <c r="R31" i="48"/>
  <c r="R30" i="48"/>
  <c r="R46" i="48" s="1"/>
  <c r="R22" i="48"/>
  <c r="R21" i="48"/>
  <c r="R20" i="48"/>
  <c r="R19" i="48"/>
  <c r="R18" i="48"/>
  <c r="R17" i="48"/>
  <c r="R16" i="48"/>
  <c r="R15" i="48"/>
  <c r="R14" i="48"/>
  <c r="R13" i="48"/>
  <c r="R12" i="48"/>
  <c r="R11" i="48"/>
  <c r="R10" i="48"/>
  <c r="R9" i="48"/>
  <c r="R8" i="48"/>
  <c r="R7" i="48"/>
  <c r="N2" i="48"/>
  <c r="H2" i="48"/>
  <c r="R91" i="47"/>
  <c r="R90" i="47"/>
  <c r="R89" i="47"/>
  <c r="R88" i="47"/>
  <c r="R87" i="47"/>
  <c r="R86" i="47"/>
  <c r="R85" i="47"/>
  <c r="R84" i="47"/>
  <c r="R83" i="47"/>
  <c r="R82" i="47"/>
  <c r="R81" i="47"/>
  <c r="R80" i="47"/>
  <c r="R79" i="47"/>
  <c r="R78" i="47"/>
  <c r="R77" i="47"/>
  <c r="R76" i="47"/>
  <c r="R68" i="47"/>
  <c r="R67" i="47"/>
  <c r="R66" i="47"/>
  <c r="R65" i="47"/>
  <c r="R64" i="47"/>
  <c r="R63" i="47"/>
  <c r="R62" i="47"/>
  <c r="R61" i="47"/>
  <c r="R60" i="47"/>
  <c r="R59" i="47"/>
  <c r="R58" i="47"/>
  <c r="R57" i="47"/>
  <c r="R56" i="47"/>
  <c r="R55" i="47"/>
  <c r="R54" i="47"/>
  <c r="R53" i="47"/>
  <c r="R69" i="47" s="1"/>
  <c r="R45" i="47"/>
  <c r="R44" i="47"/>
  <c r="R43" i="47"/>
  <c r="R42" i="47"/>
  <c r="R41" i="47"/>
  <c r="R40" i="47"/>
  <c r="R39" i="47"/>
  <c r="R38" i="47"/>
  <c r="R37" i="47"/>
  <c r="R36" i="47"/>
  <c r="R35" i="47"/>
  <c r="R34" i="47"/>
  <c r="R33" i="47"/>
  <c r="R32" i="47"/>
  <c r="R31" i="47"/>
  <c r="R30" i="47"/>
  <c r="R22" i="47"/>
  <c r="R21" i="47"/>
  <c r="R20" i="47"/>
  <c r="R19" i="47"/>
  <c r="R18" i="47"/>
  <c r="R17" i="47"/>
  <c r="R16" i="47"/>
  <c r="R15" i="47"/>
  <c r="R14" i="47"/>
  <c r="R13" i="47"/>
  <c r="R12" i="47"/>
  <c r="R11" i="47"/>
  <c r="R10" i="47"/>
  <c r="R9" i="47"/>
  <c r="R8" i="47"/>
  <c r="R7" i="47"/>
  <c r="N2" i="47"/>
  <c r="H2" i="47"/>
  <c r="R45" i="46"/>
  <c r="R44" i="46"/>
  <c r="R43" i="46"/>
  <c r="R42" i="46"/>
  <c r="R41" i="46"/>
  <c r="R40" i="46"/>
  <c r="R39" i="46"/>
  <c r="R38" i="46"/>
  <c r="R37" i="46"/>
  <c r="R36" i="46"/>
  <c r="R35" i="46"/>
  <c r="R34" i="46"/>
  <c r="R33" i="46"/>
  <c r="R32" i="46"/>
  <c r="R31" i="46"/>
  <c r="R30" i="46"/>
  <c r="R22" i="46"/>
  <c r="R21" i="46"/>
  <c r="R20" i="46"/>
  <c r="R19" i="46"/>
  <c r="R18" i="46"/>
  <c r="R17" i="46"/>
  <c r="R16" i="46"/>
  <c r="R15" i="46"/>
  <c r="R14" i="46"/>
  <c r="R13" i="46"/>
  <c r="R12" i="46"/>
  <c r="R11" i="46"/>
  <c r="R10" i="46"/>
  <c r="R9" i="46"/>
  <c r="R8" i="46"/>
  <c r="R7" i="46"/>
  <c r="R23" i="46" s="1"/>
  <c r="N2" i="46"/>
  <c r="H2" i="46"/>
  <c r="R45" i="45"/>
  <c r="R44" i="45"/>
  <c r="R43" i="45"/>
  <c r="R42" i="45"/>
  <c r="R41" i="45"/>
  <c r="R40" i="45"/>
  <c r="R39" i="45"/>
  <c r="R38" i="45"/>
  <c r="R37" i="45"/>
  <c r="R36" i="45"/>
  <c r="R35" i="45"/>
  <c r="R34" i="45"/>
  <c r="R33" i="45"/>
  <c r="R32" i="45"/>
  <c r="R31" i="45"/>
  <c r="R30" i="45"/>
  <c r="R22" i="45"/>
  <c r="R21" i="45"/>
  <c r="R20" i="45"/>
  <c r="R19" i="45"/>
  <c r="R18" i="45"/>
  <c r="R17" i="45"/>
  <c r="R16" i="45"/>
  <c r="R15" i="45"/>
  <c r="R14" i="45"/>
  <c r="R13" i="45"/>
  <c r="R12" i="45"/>
  <c r="R11" i="45"/>
  <c r="R10" i="45"/>
  <c r="R9" i="45"/>
  <c r="R8" i="45"/>
  <c r="R7" i="45"/>
  <c r="N2" i="45"/>
  <c r="H2" i="45"/>
  <c r="M46" i="44"/>
  <c r="O46" i="44" s="1"/>
  <c r="K46" i="44"/>
  <c r="K45" i="44"/>
  <c r="M45" i="44" s="1"/>
  <c r="O44" i="44"/>
  <c r="K44" i="44"/>
  <c r="M44" i="44" s="1"/>
  <c r="N44" i="44" s="1"/>
  <c r="N43" i="44"/>
  <c r="K43" i="44"/>
  <c r="M43" i="44" s="1"/>
  <c r="O43" i="44" s="1"/>
  <c r="M42" i="44"/>
  <c r="O42" i="44" s="1"/>
  <c r="K42" i="44"/>
  <c r="K41" i="44"/>
  <c r="M41" i="44" s="1"/>
  <c r="O41" i="44" s="1"/>
  <c r="K40" i="44"/>
  <c r="M40" i="44" s="1"/>
  <c r="N39" i="44"/>
  <c r="K39" i="44"/>
  <c r="M39" i="44" s="1"/>
  <c r="O39" i="44" s="1"/>
  <c r="M38" i="44"/>
  <c r="O38" i="44" s="1"/>
  <c r="K38" i="44"/>
  <c r="J38" i="44"/>
  <c r="O37" i="44"/>
  <c r="M37" i="44"/>
  <c r="N37" i="44" s="1"/>
  <c r="K37" i="44"/>
  <c r="J37" i="44"/>
  <c r="N36" i="44"/>
  <c r="K36" i="44"/>
  <c r="M36" i="44" s="1"/>
  <c r="M35" i="44" s="1"/>
  <c r="J36" i="44"/>
  <c r="N32" i="44"/>
  <c r="K32" i="44"/>
  <c r="M32" i="44" s="1"/>
  <c r="O32" i="44" s="1"/>
  <c r="M31" i="44"/>
  <c r="O31" i="44" s="1"/>
  <c r="K31" i="44"/>
  <c r="K30" i="44"/>
  <c r="M30" i="44" s="1"/>
  <c r="O30" i="44" s="1"/>
  <c r="J30" i="44"/>
  <c r="N29" i="44"/>
  <c r="M29" i="44"/>
  <c r="O29" i="44" s="1"/>
  <c r="K29" i="44"/>
  <c r="K28" i="44"/>
  <c r="M28" i="44" s="1"/>
  <c r="J28" i="44"/>
  <c r="N27" i="44"/>
  <c r="M27" i="44"/>
  <c r="O27" i="44" s="1"/>
  <c r="K27" i="44"/>
  <c r="K26" i="44"/>
  <c r="M26" i="44" s="1"/>
  <c r="M25" i="44"/>
  <c r="K25" i="44"/>
  <c r="K24" i="44"/>
  <c r="M24" i="44" s="1"/>
  <c r="K23" i="44"/>
  <c r="M23" i="44" s="1"/>
  <c r="N23" i="44" s="1"/>
  <c r="N22" i="44"/>
  <c r="M22" i="44"/>
  <c r="O22" i="44" s="1"/>
  <c r="K22" i="44"/>
  <c r="N21" i="44"/>
  <c r="K21" i="44"/>
  <c r="M21" i="44" s="1"/>
  <c r="O21" i="44" s="1"/>
  <c r="M20" i="44"/>
  <c r="O20" i="44" s="1"/>
  <c r="K20" i="44"/>
  <c r="M19" i="44"/>
  <c r="K19" i="44"/>
  <c r="M18" i="44"/>
  <c r="K18" i="44"/>
  <c r="K17" i="44"/>
  <c r="M17" i="44" s="1"/>
  <c r="K16" i="44"/>
  <c r="M16" i="44" s="1"/>
  <c r="K15" i="44"/>
  <c r="M15" i="44" s="1"/>
  <c r="N15" i="44" s="1"/>
  <c r="K14" i="44"/>
  <c r="I12" i="44"/>
  <c r="H12" i="44"/>
  <c r="G12" i="44"/>
  <c r="E12" i="44"/>
  <c r="E9" i="44"/>
  <c r="O7" i="44"/>
  <c r="H7" i="44"/>
  <c r="D7" i="44"/>
  <c r="H5" i="44"/>
  <c r="D5" i="44"/>
  <c r="H3" i="44"/>
  <c r="D3" i="44"/>
  <c r="N37" i="43"/>
  <c r="K37" i="43"/>
  <c r="M37" i="43" s="1"/>
  <c r="O37" i="43" s="1"/>
  <c r="O36" i="43"/>
  <c r="N36" i="43"/>
  <c r="K36" i="43"/>
  <c r="M36" i="43" s="1"/>
  <c r="M35" i="43"/>
  <c r="K35" i="43"/>
  <c r="K34" i="43"/>
  <c r="M34" i="43" s="1"/>
  <c r="O34" i="43" s="1"/>
  <c r="K33" i="43"/>
  <c r="M33" i="43" s="1"/>
  <c r="K32" i="43"/>
  <c r="M32" i="43" s="1"/>
  <c r="K31" i="43"/>
  <c r="M31" i="43" s="1"/>
  <c r="N31" i="43" s="1"/>
  <c r="O30" i="43"/>
  <c r="K30" i="43"/>
  <c r="M30" i="43" s="1"/>
  <c r="N30" i="43" s="1"/>
  <c r="O29" i="43"/>
  <c r="N29" i="43"/>
  <c r="J29" i="43"/>
  <c r="K29" i="43" s="1"/>
  <c r="M29" i="43" s="1"/>
  <c r="J28" i="43"/>
  <c r="K28" i="43" s="1"/>
  <c r="K27" i="43"/>
  <c r="M27" i="43" s="1"/>
  <c r="N27" i="43" s="1"/>
  <c r="J27" i="43"/>
  <c r="K23" i="43"/>
  <c r="M23" i="43" s="1"/>
  <c r="M22" i="43"/>
  <c r="K22" i="43"/>
  <c r="O21" i="43"/>
  <c r="K21" i="43"/>
  <c r="M21" i="43" s="1"/>
  <c r="N21" i="43" s="1"/>
  <c r="K20" i="43"/>
  <c r="M20" i="43" s="1"/>
  <c r="N20" i="43" s="1"/>
  <c r="O19" i="43"/>
  <c r="N19" i="43"/>
  <c r="K19" i="43"/>
  <c r="M19" i="43" s="1"/>
  <c r="K18" i="43"/>
  <c r="M18" i="43" s="1"/>
  <c r="O18" i="43" s="1"/>
  <c r="O17" i="43"/>
  <c r="N17" i="43"/>
  <c r="K17" i="43"/>
  <c r="M17" i="43" s="1"/>
  <c r="M16" i="43"/>
  <c r="K16" i="43"/>
  <c r="N15" i="43"/>
  <c r="K15" i="43"/>
  <c r="M15" i="43" s="1"/>
  <c r="O15" i="43" s="1"/>
  <c r="K14" i="43"/>
  <c r="M14" i="43" s="1"/>
  <c r="L12" i="43"/>
  <c r="I12" i="43"/>
  <c r="G12" i="43"/>
  <c r="E12" i="43"/>
  <c r="H12" i="43" s="1"/>
  <c r="E9" i="43"/>
  <c r="O7" i="43"/>
  <c r="H7" i="43"/>
  <c r="D7" i="43"/>
  <c r="H5" i="43"/>
  <c r="D5" i="43"/>
  <c r="H3" i="43"/>
  <c r="D3" i="43"/>
  <c r="H62" i="42"/>
  <c r="J62" i="42" s="1"/>
  <c r="H61" i="42"/>
  <c r="J61" i="42" s="1"/>
  <c r="H60" i="42"/>
  <c r="J60" i="42" s="1"/>
  <c r="K60" i="42" s="1"/>
  <c r="K59" i="42"/>
  <c r="H59" i="42"/>
  <c r="J59" i="42" s="1"/>
  <c r="L59" i="42" s="1"/>
  <c r="L58" i="42"/>
  <c r="K58" i="42"/>
  <c r="J58" i="42"/>
  <c r="H58" i="42"/>
  <c r="J57" i="42"/>
  <c r="H57" i="42"/>
  <c r="K56" i="42"/>
  <c r="J56" i="42"/>
  <c r="L56" i="42" s="1"/>
  <c r="H56" i="42"/>
  <c r="H55" i="42"/>
  <c r="J55" i="42" s="1"/>
  <c r="H54" i="42"/>
  <c r="J54" i="42" s="1"/>
  <c r="H53" i="42"/>
  <c r="L50" i="42"/>
  <c r="H50" i="42"/>
  <c r="J50" i="42" s="1"/>
  <c r="K50" i="42" s="1"/>
  <c r="J49" i="42"/>
  <c r="K49" i="42" s="1"/>
  <c r="L49" i="42" s="1"/>
  <c r="H49" i="42"/>
  <c r="H48" i="42"/>
  <c r="J48" i="42" s="1"/>
  <c r="K48" i="42" s="1"/>
  <c r="L48" i="42" s="1"/>
  <c r="L47" i="42"/>
  <c r="J47" i="42"/>
  <c r="K47" i="42" s="1"/>
  <c r="H47" i="42"/>
  <c r="H46" i="42"/>
  <c r="J46" i="42" s="1"/>
  <c r="K46" i="42" s="1"/>
  <c r="L46" i="42" s="1"/>
  <c r="L45" i="42"/>
  <c r="J45" i="42"/>
  <c r="K45" i="42" s="1"/>
  <c r="H45" i="42"/>
  <c r="L44" i="42"/>
  <c r="H44" i="42"/>
  <c r="J44" i="42" s="1"/>
  <c r="K44" i="42" s="1"/>
  <c r="L43" i="42"/>
  <c r="J43" i="42"/>
  <c r="K43" i="42" s="1"/>
  <c r="H43" i="42"/>
  <c r="L42" i="42"/>
  <c r="H42" i="42"/>
  <c r="J42" i="42" s="1"/>
  <c r="K42" i="42" s="1"/>
  <c r="J41" i="42"/>
  <c r="K41" i="42" s="1"/>
  <c r="L41" i="42" s="1"/>
  <c r="H41" i="42"/>
  <c r="L40" i="42"/>
  <c r="H40" i="42"/>
  <c r="J40" i="42" s="1"/>
  <c r="K40" i="42" s="1"/>
  <c r="J39" i="42"/>
  <c r="K39" i="42" s="1"/>
  <c r="L39" i="42" s="1"/>
  <c r="H39" i="42"/>
  <c r="H37" i="42"/>
  <c r="J37" i="42" s="1"/>
  <c r="K37" i="42" s="1"/>
  <c r="L37" i="42" s="1"/>
  <c r="L36" i="42"/>
  <c r="J36" i="42"/>
  <c r="K36" i="42" s="1"/>
  <c r="H36" i="42"/>
  <c r="H35" i="42"/>
  <c r="J35" i="42" s="1"/>
  <c r="K35" i="42" s="1"/>
  <c r="L35" i="42" s="1"/>
  <c r="L33" i="42"/>
  <c r="G33" i="42"/>
  <c r="H33" i="42" s="1"/>
  <c r="J33" i="42" s="1"/>
  <c r="K33" i="42" s="1"/>
  <c r="H32" i="42"/>
  <c r="J32" i="42" s="1"/>
  <c r="K32" i="42" s="1"/>
  <c r="L32" i="42" s="1"/>
  <c r="G32" i="42"/>
  <c r="J31" i="42"/>
  <c r="K31" i="42" s="1"/>
  <c r="L31" i="42" s="1"/>
  <c r="L30" i="42"/>
  <c r="H30" i="42"/>
  <c r="J30" i="42" s="1"/>
  <c r="K30" i="42" s="1"/>
  <c r="K29" i="42"/>
  <c r="L29" i="42" s="1"/>
  <c r="J29" i="42"/>
  <c r="H29" i="42"/>
  <c r="J28" i="42"/>
  <c r="K28" i="42" s="1"/>
  <c r="L28" i="42" s="1"/>
  <c r="H28" i="42"/>
  <c r="K27" i="42"/>
  <c r="L27" i="42" s="1"/>
  <c r="J27" i="42"/>
  <c r="H27" i="42"/>
  <c r="H26" i="42"/>
  <c r="J26" i="42" s="1"/>
  <c r="K26" i="42" s="1"/>
  <c r="L26" i="42" s="1"/>
  <c r="J25" i="42"/>
  <c r="K25" i="42" s="1"/>
  <c r="L25" i="42" s="1"/>
  <c r="H25" i="42"/>
  <c r="L24" i="42"/>
  <c r="K24" i="42"/>
  <c r="K23" i="42"/>
  <c r="L23" i="42" s="1"/>
  <c r="G23" i="42"/>
  <c r="H23" i="42" s="1"/>
  <c r="J23" i="42" s="1"/>
  <c r="G22" i="42"/>
  <c r="H22" i="42" s="1"/>
  <c r="J22" i="42" s="1"/>
  <c r="K22" i="42" s="1"/>
  <c r="L22" i="42" s="1"/>
  <c r="L21" i="42"/>
  <c r="H21" i="42"/>
  <c r="J21" i="42" s="1"/>
  <c r="K21" i="42" s="1"/>
  <c r="G21" i="42"/>
  <c r="G20" i="42"/>
  <c r="H20" i="42" s="1"/>
  <c r="J20" i="42" s="1"/>
  <c r="K20" i="42" s="1"/>
  <c r="L20" i="42" s="1"/>
  <c r="J19" i="42"/>
  <c r="K19" i="42" s="1"/>
  <c r="L19" i="42" s="1"/>
  <c r="G19" i="42"/>
  <c r="H19" i="42" s="1"/>
  <c r="H18" i="42"/>
  <c r="J18" i="42" s="1"/>
  <c r="K18" i="42" s="1"/>
  <c r="L18" i="42" s="1"/>
  <c r="G18" i="42"/>
  <c r="J17" i="42"/>
  <c r="K17" i="42" s="1"/>
  <c r="L17" i="42" s="1"/>
  <c r="H17" i="42"/>
  <c r="G17" i="42"/>
  <c r="J16" i="42"/>
  <c r="K16" i="42" s="1"/>
  <c r="L16" i="42" s="1"/>
  <c r="H16" i="42"/>
  <c r="G16" i="42"/>
  <c r="K15" i="42"/>
  <c r="G15" i="42"/>
  <c r="H15" i="42" s="1"/>
  <c r="J15" i="42" s="1"/>
  <c r="D9" i="42"/>
  <c r="L7" i="42"/>
  <c r="G7" i="42"/>
  <c r="C7" i="42"/>
  <c r="G5" i="42"/>
  <c r="C5" i="42"/>
  <c r="G3" i="42"/>
  <c r="C3" i="42"/>
  <c r="H61" i="41"/>
  <c r="J61" i="41" s="1"/>
  <c r="H60" i="41"/>
  <c r="J60" i="41" s="1"/>
  <c r="K60" i="41" s="1"/>
  <c r="K59" i="41"/>
  <c r="H59" i="41"/>
  <c r="J59" i="41" s="1"/>
  <c r="L59" i="41" s="1"/>
  <c r="L58" i="41"/>
  <c r="K58" i="41"/>
  <c r="J58" i="41"/>
  <c r="H58" i="41"/>
  <c r="J57" i="41"/>
  <c r="H57" i="41"/>
  <c r="K56" i="41"/>
  <c r="J56" i="41"/>
  <c r="L56" i="41" s="1"/>
  <c r="H56" i="41"/>
  <c r="H55" i="41"/>
  <c r="J55" i="41" s="1"/>
  <c r="J54" i="41"/>
  <c r="H54" i="41"/>
  <c r="H53" i="41"/>
  <c r="J53" i="41" s="1"/>
  <c r="H52" i="41"/>
  <c r="J49" i="41"/>
  <c r="K49" i="41" s="1"/>
  <c r="L49" i="41" s="1"/>
  <c r="H49" i="41"/>
  <c r="H48" i="41"/>
  <c r="J48" i="41" s="1"/>
  <c r="K48" i="41" s="1"/>
  <c r="L48" i="41" s="1"/>
  <c r="L47" i="41"/>
  <c r="J47" i="41"/>
  <c r="K47" i="41" s="1"/>
  <c r="H47" i="41"/>
  <c r="H46" i="41"/>
  <c r="J46" i="41" s="1"/>
  <c r="K46" i="41" s="1"/>
  <c r="L46" i="41" s="1"/>
  <c r="L45" i="41"/>
  <c r="J45" i="41"/>
  <c r="K45" i="41" s="1"/>
  <c r="H45" i="41"/>
  <c r="S44" i="41"/>
  <c r="H44" i="41"/>
  <c r="J44" i="41" s="1"/>
  <c r="K44" i="41" s="1"/>
  <c r="L44" i="41" s="1"/>
  <c r="S43" i="41"/>
  <c r="H43" i="41"/>
  <c r="J43" i="41" s="1"/>
  <c r="K43" i="41" s="1"/>
  <c r="L43" i="41" s="1"/>
  <c r="S42" i="41"/>
  <c r="J42" i="41"/>
  <c r="K42" i="41" s="1"/>
  <c r="L42" i="41" s="1"/>
  <c r="H42" i="41"/>
  <c r="S41" i="41"/>
  <c r="L41" i="41"/>
  <c r="K41" i="41"/>
  <c r="J41" i="41"/>
  <c r="H41" i="41"/>
  <c r="S40" i="41"/>
  <c r="H40" i="41"/>
  <c r="J40" i="41" s="1"/>
  <c r="K40" i="41" s="1"/>
  <c r="L40" i="41" s="1"/>
  <c r="S39" i="41"/>
  <c r="L39" i="41"/>
  <c r="H39" i="41"/>
  <c r="J39" i="41" s="1"/>
  <c r="K39" i="41" s="1"/>
  <c r="S38" i="41"/>
  <c r="H38" i="41"/>
  <c r="J38" i="41" s="1"/>
  <c r="K38" i="41" s="1"/>
  <c r="L38" i="41" s="1"/>
  <c r="L36" i="41"/>
  <c r="H36" i="41"/>
  <c r="J36" i="41" s="1"/>
  <c r="K36" i="41" s="1"/>
  <c r="H35" i="41"/>
  <c r="J35" i="41" s="1"/>
  <c r="K35" i="41" s="1"/>
  <c r="L35" i="41" s="1"/>
  <c r="L34" i="41"/>
  <c r="K34" i="41"/>
  <c r="J34" i="41"/>
  <c r="H34" i="41"/>
  <c r="K32" i="41"/>
  <c r="L32" i="41" s="1"/>
  <c r="J32" i="41"/>
  <c r="G32" i="41"/>
  <c r="H32" i="41" s="1"/>
  <c r="K31" i="41"/>
  <c r="L31" i="41" s="1"/>
  <c r="G31" i="41"/>
  <c r="H31" i="41" s="1"/>
  <c r="J31" i="41" s="1"/>
  <c r="L30" i="41"/>
  <c r="J30" i="41"/>
  <c r="K30" i="41" s="1"/>
  <c r="J29" i="41"/>
  <c r="K29" i="41" s="1"/>
  <c r="L29" i="41" s="1"/>
  <c r="H29" i="41"/>
  <c r="K28" i="41"/>
  <c r="L28" i="41" s="1"/>
  <c r="H28" i="41"/>
  <c r="J28" i="41" s="1"/>
  <c r="H27" i="41"/>
  <c r="J27" i="41" s="1"/>
  <c r="K27" i="41" s="1"/>
  <c r="L27" i="41" s="1"/>
  <c r="H26" i="41"/>
  <c r="J26" i="41" s="1"/>
  <c r="K26" i="41" s="1"/>
  <c r="L26" i="41" s="1"/>
  <c r="H25" i="41"/>
  <c r="J25" i="41" s="1"/>
  <c r="K25" i="41" s="1"/>
  <c r="L25" i="41" s="1"/>
  <c r="H24" i="41"/>
  <c r="J24" i="41" s="1"/>
  <c r="K24" i="41" s="1"/>
  <c r="L24" i="41" s="1"/>
  <c r="L23" i="41"/>
  <c r="K23" i="41"/>
  <c r="J23" i="41"/>
  <c r="J22" i="41"/>
  <c r="K22" i="41" s="1"/>
  <c r="L22" i="41" s="1"/>
  <c r="G22" i="41"/>
  <c r="H22" i="41" s="1"/>
  <c r="K21" i="41"/>
  <c r="L21" i="41" s="1"/>
  <c r="J21" i="41"/>
  <c r="H21" i="41"/>
  <c r="G21" i="41"/>
  <c r="J20" i="41"/>
  <c r="K20" i="41" s="1"/>
  <c r="L20" i="41" s="1"/>
  <c r="H20" i="41"/>
  <c r="J19" i="41"/>
  <c r="K19" i="41" s="1"/>
  <c r="L19" i="41" s="1"/>
  <c r="H19" i="41"/>
  <c r="H18" i="41"/>
  <c r="J18" i="41" s="1"/>
  <c r="K18" i="41" s="1"/>
  <c r="L18" i="41" s="1"/>
  <c r="H17" i="41"/>
  <c r="J17" i="41" s="1"/>
  <c r="K17" i="41" s="1"/>
  <c r="L17" i="41" s="1"/>
  <c r="L16" i="41"/>
  <c r="J16" i="41"/>
  <c r="K16" i="41" s="1"/>
  <c r="H16" i="41"/>
  <c r="H15" i="41"/>
  <c r="G15" i="41"/>
  <c r="D9" i="41"/>
  <c r="L7" i="41"/>
  <c r="G7" i="41"/>
  <c r="C7" i="41"/>
  <c r="G5" i="41"/>
  <c r="C5" i="41"/>
  <c r="G3" i="41"/>
  <c r="C3" i="41"/>
  <c r="G55" i="40"/>
  <c r="I55" i="40" s="1"/>
  <c r="G54" i="40"/>
  <c r="I54" i="40" s="1"/>
  <c r="K53" i="40"/>
  <c r="J53" i="40"/>
  <c r="I53" i="40"/>
  <c r="G53" i="40"/>
  <c r="K52" i="40"/>
  <c r="G52" i="40"/>
  <c r="I52" i="40" s="1"/>
  <c r="J52" i="40" s="1"/>
  <c r="K51" i="40"/>
  <c r="J51" i="40"/>
  <c r="I51" i="40"/>
  <c r="G51" i="40"/>
  <c r="F51" i="40"/>
  <c r="F50" i="40"/>
  <c r="G50" i="40" s="1"/>
  <c r="I50" i="40" s="1"/>
  <c r="J50" i="40" s="1"/>
  <c r="K49" i="40"/>
  <c r="J49" i="40"/>
  <c r="I49" i="40"/>
  <c r="G49" i="40"/>
  <c r="F49" i="40"/>
  <c r="G48" i="40"/>
  <c r="I48" i="40" s="1"/>
  <c r="F48" i="40"/>
  <c r="G47" i="40"/>
  <c r="I47" i="40" s="1"/>
  <c r="F47" i="40"/>
  <c r="I46" i="40"/>
  <c r="G46" i="40"/>
  <c r="F46" i="40"/>
  <c r="F45" i="40"/>
  <c r="G45" i="40" s="1"/>
  <c r="I45" i="40" s="1"/>
  <c r="K44" i="40"/>
  <c r="J44" i="40"/>
  <c r="I44" i="40"/>
  <c r="F44" i="40"/>
  <c r="G44" i="40" s="1"/>
  <c r="K41" i="40"/>
  <c r="I41" i="40"/>
  <c r="J41" i="40" s="1"/>
  <c r="G41" i="40"/>
  <c r="J40" i="40"/>
  <c r="F40" i="40"/>
  <c r="G40" i="40" s="1"/>
  <c r="I40" i="40" s="1"/>
  <c r="K40" i="40" s="1"/>
  <c r="J39" i="40"/>
  <c r="I39" i="40"/>
  <c r="K39" i="40" s="1"/>
  <c r="G39" i="40"/>
  <c r="F39" i="40"/>
  <c r="K38" i="40"/>
  <c r="F38" i="40"/>
  <c r="G38" i="40" s="1"/>
  <c r="I38" i="40" s="1"/>
  <c r="J38" i="40" s="1"/>
  <c r="K37" i="40"/>
  <c r="J37" i="40"/>
  <c r="I37" i="40"/>
  <c r="G37" i="40"/>
  <c r="F36" i="40"/>
  <c r="G36" i="40" s="1"/>
  <c r="I36" i="40" s="1"/>
  <c r="J36" i="40" s="1"/>
  <c r="K35" i="40"/>
  <c r="F35" i="40"/>
  <c r="G35" i="40" s="1"/>
  <c r="I35" i="40" s="1"/>
  <c r="J35" i="40" s="1"/>
  <c r="G34" i="40"/>
  <c r="I34" i="40" s="1"/>
  <c r="K33" i="40"/>
  <c r="J33" i="40"/>
  <c r="I33" i="40"/>
  <c r="G33" i="40"/>
  <c r="G32" i="40"/>
  <c r="I32" i="40" s="1"/>
  <c r="K32" i="40" s="1"/>
  <c r="K31" i="40"/>
  <c r="J31" i="40"/>
  <c r="I31" i="40"/>
  <c r="G31" i="40"/>
  <c r="F31" i="40"/>
  <c r="F30" i="40"/>
  <c r="G30" i="40" s="1"/>
  <c r="I30" i="40" s="1"/>
  <c r="F29" i="40"/>
  <c r="G29" i="40" s="1"/>
  <c r="I29" i="40" s="1"/>
  <c r="I28" i="40"/>
  <c r="G28" i="40"/>
  <c r="F28" i="40"/>
  <c r="G27" i="40"/>
  <c r="I27" i="40" s="1"/>
  <c r="F27" i="40"/>
  <c r="I26" i="40"/>
  <c r="K26" i="40" s="1"/>
  <c r="F26" i="40"/>
  <c r="G26" i="40" s="1"/>
  <c r="I25" i="40"/>
  <c r="F25" i="40"/>
  <c r="G25" i="40" s="1"/>
  <c r="I24" i="40"/>
  <c r="J24" i="40" s="1"/>
  <c r="G24" i="40"/>
  <c r="F24" i="40"/>
  <c r="J23" i="40"/>
  <c r="G23" i="40"/>
  <c r="I23" i="40" s="1"/>
  <c r="K23" i="40" s="1"/>
  <c r="F23" i="40"/>
  <c r="F22" i="40"/>
  <c r="G22" i="40" s="1"/>
  <c r="I22" i="40" s="1"/>
  <c r="J22" i="40" s="1"/>
  <c r="G21" i="40"/>
  <c r="I21" i="40" s="1"/>
  <c r="F21" i="40"/>
  <c r="G20" i="40"/>
  <c r="I20" i="40" s="1"/>
  <c r="F20" i="40"/>
  <c r="I19" i="40"/>
  <c r="G19" i="40"/>
  <c r="F19" i="40"/>
  <c r="I18" i="40"/>
  <c r="G18" i="40"/>
  <c r="I17" i="40"/>
  <c r="J17" i="40" s="1"/>
  <c r="F16" i="40"/>
  <c r="G16" i="40" s="1"/>
  <c r="I16" i="40" s="1"/>
  <c r="J16" i="40" s="1"/>
  <c r="G15" i="40"/>
  <c r="I15" i="40" s="1"/>
  <c r="F15" i="40"/>
  <c r="F14" i="40"/>
  <c r="G14" i="40" s="1"/>
  <c r="D10" i="40"/>
  <c r="K7" i="40"/>
  <c r="F7" i="40"/>
  <c r="C7" i="40"/>
  <c r="F5" i="40"/>
  <c r="C5" i="40"/>
  <c r="F3" i="40"/>
  <c r="C3" i="40"/>
  <c r="I66" i="39"/>
  <c r="G66" i="39"/>
  <c r="I65" i="39"/>
  <c r="K65" i="39" s="1"/>
  <c r="G65" i="39"/>
  <c r="I64" i="39"/>
  <c r="G64" i="39"/>
  <c r="J63" i="39"/>
  <c r="I63" i="39"/>
  <c r="K63" i="39" s="1"/>
  <c r="G63" i="39"/>
  <c r="I62" i="39"/>
  <c r="G62" i="39"/>
  <c r="J61" i="39"/>
  <c r="I61" i="39"/>
  <c r="K61" i="39" s="1"/>
  <c r="G61" i="39"/>
  <c r="I60" i="39"/>
  <c r="G60" i="39"/>
  <c r="J59" i="39"/>
  <c r="I59" i="39"/>
  <c r="K59" i="39" s="1"/>
  <c r="G59" i="39"/>
  <c r="I58" i="39"/>
  <c r="F58" i="39"/>
  <c r="G58" i="39" s="1"/>
  <c r="K57" i="39"/>
  <c r="J57" i="39"/>
  <c r="G57" i="39"/>
  <c r="I57" i="39" s="1"/>
  <c r="F57" i="39"/>
  <c r="G56" i="39"/>
  <c r="H56" i="39" s="1"/>
  <c r="K54" i="39"/>
  <c r="G54" i="39"/>
  <c r="I54" i="39" s="1"/>
  <c r="J54" i="39" s="1"/>
  <c r="O54" i="39" s="1"/>
  <c r="G53" i="39"/>
  <c r="I53" i="39" s="1"/>
  <c r="G52" i="39"/>
  <c r="I52" i="39" s="1"/>
  <c r="G51" i="39"/>
  <c r="I51" i="39" s="1"/>
  <c r="I50" i="39"/>
  <c r="G50" i="39"/>
  <c r="K49" i="39"/>
  <c r="J49" i="39"/>
  <c r="P49" i="39" s="1"/>
  <c r="I49" i="39"/>
  <c r="G49" i="39"/>
  <c r="G48" i="39"/>
  <c r="I48" i="39" s="1"/>
  <c r="J48" i="39" s="1"/>
  <c r="P48" i="39" s="1"/>
  <c r="P47" i="39"/>
  <c r="G47" i="39"/>
  <c r="I47" i="39" s="1"/>
  <c r="J47" i="39" s="1"/>
  <c r="K46" i="39"/>
  <c r="G46" i="39"/>
  <c r="I46" i="39" s="1"/>
  <c r="J46" i="39" s="1"/>
  <c r="P46" i="39" s="1"/>
  <c r="P45" i="39"/>
  <c r="K45" i="39"/>
  <c r="G45" i="39"/>
  <c r="I45" i="39" s="1"/>
  <c r="J45" i="39" s="1"/>
  <c r="G44" i="39"/>
  <c r="I44" i="39" s="1"/>
  <c r="G43" i="39"/>
  <c r="I43" i="39" s="1"/>
  <c r="J42" i="39"/>
  <c r="P42" i="39" s="1"/>
  <c r="I42" i="39"/>
  <c r="K42" i="39" s="1"/>
  <c r="G42" i="39"/>
  <c r="G41" i="39"/>
  <c r="I41" i="39" s="1"/>
  <c r="K41" i="39" s="1"/>
  <c r="P40" i="39"/>
  <c r="K40" i="39"/>
  <c r="I40" i="39"/>
  <c r="J40" i="39" s="1"/>
  <c r="G40" i="39"/>
  <c r="K39" i="39"/>
  <c r="G39" i="39"/>
  <c r="I39" i="39" s="1"/>
  <c r="J39" i="39" s="1"/>
  <c r="N39" i="39" s="1"/>
  <c r="G38" i="39"/>
  <c r="I38" i="39" s="1"/>
  <c r="J38" i="39" s="1"/>
  <c r="N38" i="39" s="1"/>
  <c r="G37" i="39"/>
  <c r="I37" i="39" s="1"/>
  <c r="G36" i="39"/>
  <c r="I36" i="39" s="1"/>
  <c r="F36" i="39"/>
  <c r="I35" i="39"/>
  <c r="K35" i="39" s="1"/>
  <c r="G35" i="39"/>
  <c r="J34" i="39"/>
  <c r="N34" i="39" s="1"/>
  <c r="G34" i="39"/>
  <c r="I34" i="39" s="1"/>
  <c r="K34" i="39" s="1"/>
  <c r="K33" i="39"/>
  <c r="J33" i="39"/>
  <c r="N33" i="39" s="1"/>
  <c r="I33" i="39"/>
  <c r="G33" i="39"/>
  <c r="G32" i="39"/>
  <c r="I32" i="39" s="1"/>
  <c r="K32" i="39" s="1"/>
  <c r="N31" i="39"/>
  <c r="K31" i="39"/>
  <c r="J31" i="39"/>
  <c r="I31" i="39"/>
  <c r="G31" i="39"/>
  <c r="G30" i="39"/>
  <c r="I30" i="39" s="1"/>
  <c r="G29" i="39"/>
  <c r="I29" i="39" s="1"/>
  <c r="I28" i="39"/>
  <c r="K28" i="39" s="1"/>
  <c r="G28" i="39"/>
  <c r="F28" i="39"/>
  <c r="F27" i="39"/>
  <c r="G27" i="39" s="1"/>
  <c r="I27" i="39" s="1"/>
  <c r="G26" i="39"/>
  <c r="I26" i="39" s="1"/>
  <c r="F26" i="39"/>
  <c r="K25" i="39"/>
  <c r="J25" i="39"/>
  <c r="N25" i="39" s="1"/>
  <c r="G25" i="39"/>
  <c r="I25" i="39" s="1"/>
  <c r="F25" i="39"/>
  <c r="G24" i="39"/>
  <c r="I24" i="39" s="1"/>
  <c r="J24" i="39" s="1"/>
  <c r="M24" i="39" s="1"/>
  <c r="K23" i="39"/>
  <c r="J23" i="39"/>
  <c r="M23" i="39" s="1"/>
  <c r="I23" i="39"/>
  <c r="G23" i="39"/>
  <c r="G22" i="39"/>
  <c r="I22" i="39" s="1"/>
  <c r="I21" i="39"/>
  <c r="G21" i="39"/>
  <c r="K20" i="39"/>
  <c r="J20" i="39"/>
  <c r="M20" i="39" s="1"/>
  <c r="I20" i="39"/>
  <c r="G20" i="39"/>
  <c r="F19" i="39"/>
  <c r="G19" i="39" s="1"/>
  <c r="I19" i="39" s="1"/>
  <c r="F18" i="39"/>
  <c r="G18" i="39" s="1"/>
  <c r="I18" i="39" s="1"/>
  <c r="M17" i="39"/>
  <c r="K17" i="39"/>
  <c r="G17" i="39"/>
  <c r="I17" i="39" s="1"/>
  <c r="J17" i="39" s="1"/>
  <c r="G16" i="39"/>
  <c r="I16" i="39" s="1"/>
  <c r="F15" i="39"/>
  <c r="G15" i="39" s="1"/>
  <c r="I15" i="39" s="1"/>
  <c r="M14" i="39"/>
  <c r="K14" i="39"/>
  <c r="F14" i="39"/>
  <c r="G14" i="39" s="1"/>
  <c r="I14" i="39" s="1"/>
  <c r="J14" i="39" s="1"/>
  <c r="I13" i="39"/>
  <c r="G13" i="39"/>
  <c r="H12" i="39" s="1"/>
  <c r="F13" i="39"/>
  <c r="D9" i="39"/>
  <c r="K7" i="39"/>
  <c r="F7" i="39"/>
  <c r="C7" i="39"/>
  <c r="F5" i="39"/>
  <c r="C5" i="39"/>
  <c r="F3" i="39"/>
  <c r="C3" i="39"/>
  <c r="G66" i="38"/>
  <c r="I66" i="38" s="1"/>
  <c r="G65" i="38"/>
  <c r="I65" i="38" s="1"/>
  <c r="G64" i="38"/>
  <c r="I64" i="38" s="1"/>
  <c r="I63" i="38"/>
  <c r="G63" i="38"/>
  <c r="G62" i="38"/>
  <c r="I62" i="38" s="1"/>
  <c r="G61" i="38"/>
  <c r="I61" i="38" s="1"/>
  <c r="G60" i="38"/>
  <c r="I60" i="38" s="1"/>
  <c r="G59" i="38"/>
  <c r="G56" i="38" s="1"/>
  <c r="H56" i="38" s="1"/>
  <c r="F59" i="38"/>
  <c r="I58" i="38"/>
  <c r="F58" i="38"/>
  <c r="G58" i="38" s="1"/>
  <c r="J57" i="38"/>
  <c r="F57" i="38"/>
  <c r="G57" i="38" s="1"/>
  <c r="I57" i="38" s="1"/>
  <c r="G54" i="38"/>
  <c r="I54" i="38" s="1"/>
  <c r="G53" i="38"/>
  <c r="I53" i="38" s="1"/>
  <c r="G52" i="38"/>
  <c r="I52" i="38" s="1"/>
  <c r="G51" i="38"/>
  <c r="I51" i="38" s="1"/>
  <c r="G50" i="38"/>
  <c r="I50" i="38" s="1"/>
  <c r="I49" i="38"/>
  <c r="G49" i="38"/>
  <c r="G48" i="38"/>
  <c r="I48" i="38" s="1"/>
  <c r="G47" i="38"/>
  <c r="I47" i="38" s="1"/>
  <c r="G46" i="38"/>
  <c r="I46" i="38" s="1"/>
  <c r="G45" i="38"/>
  <c r="G12" i="38" s="1"/>
  <c r="G44" i="38"/>
  <c r="I44" i="38" s="1"/>
  <c r="I43" i="38"/>
  <c r="G43" i="38"/>
  <c r="G42" i="38"/>
  <c r="I42" i="38" s="1"/>
  <c r="I41" i="38"/>
  <c r="G41" i="38"/>
  <c r="G40" i="38"/>
  <c r="I40" i="38" s="1"/>
  <c r="I39" i="38"/>
  <c r="G39" i="38"/>
  <c r="G38" i="38"/>
  <c r="I38" i="38" s="1"/>
  <c r="G37" i="38"/>
  <c r="I37" i="38" s="1"/>
  <c r="G36" i="38"/>
  <c r="I36" i="38" s="1"/>
  <c r="F36" i="38"/>
  <c r="I35" i="38"/>
  <c r="K35" i="38" s="1"/>
  <c r="G35" i="38"/>
  <c r="I34" i="38"/>
  <c r="G34" i="38"/>
  <c r="I33" i="38"/>
  <c r="K33" i="38" s="1"/>
  <c r="G33" i="38"/>
  <c r="I32" i="38"/>
  <c r="G32" i="38"/>
  <c r="J31" i="38"/>
  <c r="I31" i="38"/>
  <c r="K31" i="38" s="1"/>
  <c r="G31" i="38"/>
  <c r="I30" i="38"/>
  <c r="G30" i="38"/>
  <c r="I29" i="38"/>
  <c r="K29" i="38" s="1"/>
  <c r="G29" i="38"/>
  <c r="I28" i="38"/>
  <c r="G28" i="38"/>
  <c r="I27" i="38"/>
  <c r="K27" i="38" s="1"/>
  <c r="G27" i="38"/>
  <c r="I26" i="38"/>
  <c r="G26" i="38"/>
  <c r="J25" i="38"/>
  <c r="I25" i="38"/>
  <c r="K25" i="38" s="1"/>
  <c r="G25" i="38"/>
  <c r="I24" i="38"/>
  <c r="G24" i="38"/>
  <c r="J23" i="38"/>
  <c r="I23" i="38"/>
  <c r="K23" i="38" s="1"/>
  <c r="G23" i="38"/>
  <c r="I22" i="38"/>
  <c r="G22" i="38"/>
  <c r="J21" i="38"/>
  <c r="I21" i="38"/>
  <c r="K21" i="38" s="1"/>
  <c r="G21" i="38"/>
  <c r="I20" i="38"/>
  <c r="G20" i="38"/>
  <c r="I19" i="38"/>
  <c r="K19" i="38" s="1"/>
  <c r="G19" i="38"/>
  <c r="I18" i="38"/>
  <c r="F18" i="38"/>
  <c r="G18" i="38" s="1"/>
  <c r="K17" i="38"/>
  <c r="J17" i="38"/>
  <c r="I17" i="38"/>
  <c r="G17" i="38"/>
  <c r="J16" i="38"/>
  <c r="G16" i="38"/>
  <c r="I16" i="38" s="1"/>
  <c r="K16" i="38" s="1"/>
  <c r="K15" i="38"/>
  <c r="J15" i="38"/>
  <c r="I15" i="38"/>
  <c r="G15" i="38"/>
  <c r="G14" i="38"/>
  <c r="I14" i="38" s="1"/>
  <c r="K13" i="38"/>
  <c r="J13" i="38"/>
  <c r="I13" i="38"/>
  <c r="G13" i="38"/>
  <c r="D9" i="38"/>
  <c r="K7" i="38"/>
  <c r="F7" i="38"/>
  <c r="C7" i="38"/>
  <c r="F5" i="38"/>
  <c r="C5" i="38"/>
  <c r="F3" i="38"/>
  <c r="C3" i="38"/>
  <c r="R91" i="37"/>
  <c r="R90" i="37"/>
  <c r="R89" i="37"/>
  <c r="R88" i="37"/>
  <c r="R87" i="37"/>
  <c r="R86" i="37"/>
  <c r="R85" i="37"/>
  <c r="R84" i="37"/>
  <c r="R83" i="37"/>
  <c r="R82" i="37"/>
  <c r="R81" i="37"/>
  <c r="R80" i="37"/>
  <c r="R79" i="37"/>
  <c r="R78" i="37"/>
  <c r="R77" i="37"/>
  <c r="R76" i="37"/>
  <c r="R92" i="37" s="1"/>
  <c r="R68" i="37"/>
  <c r="R67" i="37"/>
  <c r="R66" i="37"/>
  <c r="R65" i="37"/>
  <c r="R64" i="37"/>
  <c r="R63" i="37"/>
  <c r="R62" i="37"/>
  <c r="R61" i="37"/>
  <c r="R60" i="37"/>
  <c r="R59" i="37"/>
  <c r="R58" i="37"/>
  <c r="R57" i="37"/>
  <c r="R56" i="37"/>
  <c r="R55" i="37"/>
  <c r="R54" i="37"/>
  <c r="R53" i="37"/>
  <c r="R69" i="37" s="1"/>
  <c r="R70" i="37" s="1"/>
  <c r="R45" i="37"/>
  <c r="R44" i="37"/>
  <c r="R43" i="37"/>
  <c r="R42" i="37"/>
  <c r="R41" i="37"/>
  <c r="R40" i="37"/>
  <c r="R39" i="37"/>
  <c r="R38" i="37"/>
  <c r="R37" i="37"/>
  <c r="R36" i="37"/>
  <c r="R35" i="37"/>
  <c r="R34" i="37"/>
  <c r="R33" i="37"/>
  <c r="R32" i="37"/>
  <c r="R31" i="37"/>
  <c r="R30" i="37"/>
  <c r="R22" i="37"/>
  <c r="R21" i="37"/>
  <c r="R20" i="37"/>
  <c r="R19" i="37"/>
  <c r="R18" i="37"/>
  <c r="R17" i="37"/>
  <c r="R16" i="37"/>
  <c r="R15" i="37"/>
  <c r="R14" i="37"/>
  <c r="R13" i="37"/>
  <c r="R12" i="37"/>
  <c r="R11" i="37"/>
  <c r="R10" i="37"/>
  <c r="R9" i="37"/>
  <c r="R8" i="37"/>
  <c r="R7" i="37"/>
  <c r="R23" i="37" s="1"/>
  <c r="N2" i="37"/>
  <c r="H2" i="37"/>
  <c r="R91" i="36"/>
  <c r="R90" i="36"/>
  <c r="R89" i="36"/>
  <c r="R88" i="36"/>
  <c r="R87" i="36"/>
  <c r="R86" i="36"/>
  <c r="R85" i="36"/>
  <c r="R84" i="36"/>
  <c r="R83" i="36"/>
  <c r="R82" i="36"/>
  <c r="R81" i="36"/>
  <c r="R80" i="36"/>
  <c r="R79" i="36"/>
  <c r="R78" i="36"/>
  <c r="R77" i="36"/>
  <c r="R76" i="36"/>
  <c r="R92" i="36" s="1"/>
  <c r="R68" i="36"/>
  <c r="R67" i="36"/>
  <c r="R66" i="36"/>
  <c r="R65" i="36"/>
  <c r="R64" i="36"/>
  <c r="R63" i="36"/>
  <c r="R62" i="36"/>
  <c r="R61" i="36"/>
  <c r="R60" i="36"/>
  <c r="R59" i="36"/>
  <c r="R58" i="36"/>
  <c r="R57" i="36"/>
  <c r="R56" i="36"/>
  <c r="R55" i="36"/>
  <c r="R54" i="36"/>
  <c r="R53" i="36"/>
  <c r="R69" i="36" s="1"/>
  <c r="R70" i="36" s="1"/>
  <c r="R45" i="36"/>
  <c r="R44" i="36"/>
  <c r="R43" i="36"/>
  <c r="R42" i="36"/>
  <c r="R41" i="36"/>
  <c r="R40" i="36"/>
  <c r="R39" i="36"/>
  <c r="R38" i="36"/>
  <c r="R37" i="36"/>
  <c r="R36" i="36"/>
  <c r="R35" i="36"/>
  <c r="R34" i="36"/>
  <c r="R33" i="36"/>
  <c r="R32" i="36"/>
  <c r="R31" i="36"/>
  <c r="R30" i="36"/>
  <c r="R22" i="36"/>
  <c r="R21" i="36"/>
  <c r="R20" i="36"/>
  <c r="R19" i="36"/>
  <c r="R18" i="36"/>
  <c r="R17" i="36"/>
  <c r="R16" i="36"/>
  <c r="R15" i="36"/>
  <c r="R14" i="36"/>
  <c r="R13" i="36"/>
  <c r="R12" i="36"/>
  <c r="R11" i="36"/>
  <c r="R10" i="36"/>
  <c r="R9" i="36"/>
  <c r="R8" i="36"/>
  <c r="R7" i="36"/>
  <c r="R23" i="36" s="1"/>
  <c r="N2" i="36"/>
  <c r="H2" i="36"/>
  <c r="R45" i="35"/>
  <c r="R44" i="35"/>
  <c r="R43" i="35"/>
  <c r="R42" i="35"/>
  <c r="R41" i="35"/>
  <c r="R40" i="35"/>
  <c r="R39" i="35"/>
  <c r="R38" i="35"/>
  <c r="R37" i="35"/>
  <c r="R36" i="35"/>
  <c r="R35" i="35"/>
  <c r="R34" i="35"/>
  <c r="R33" i="35"/>
  <c r="R32" i="35"/>
  <c r="R31" i="35"/>
  <c r="R30" i="35"/>
  <c r="R46" i="35" s="1"/>
  <c r="R22" i="35"/>
  <c r="R21" i="35"/>
  <c r="R20" i="35"/>
  <c r="R19" i="35"/>
  <c r="R18" i="35"/>
  <c r="R17" i="35"/>
  <c r="R16" i="35"/>
  <c r="R15" i="35"/>
  <c r="R14" i="35"/>
  <c r="R13" i="35"/>
  <c r="R12" i="35"/>
  <c r="R11" i="35"/>
  <c r="R10" i="35"/>
  <c r="R9" i="35"/>
  <c r="R8" i="35"/>
  <c r="R7" i="35"/>
  <c r="N2" i="35"/>
  <c r="H2" i="35"/>
  <c r="O46" i="34"/>
  <c r="N46" i="34"/>
  <c r="M46" i="34"/>
  <c r="K46" i="34"/>
  <c r="K45" i="34"/>
  <c r="M45" i="34" s="1"/>
  <c r="O45" i="34" s="1"/>
  <c r="O44" i="34"/>
  <c r="N44" i="34"/>
  <c r="M44" i="34"/>
  <c r="K44" i="34"/>
  <c r="N43" i="34"/>
  <c r="K43" i="34"/>
  <c r="M43" i="34" s="1"/>
  <c r="O43" i="34" s="1"/>
  <c r="O42" i="34"/>
  <c r="N42" i="34"/>
  <c r="M42" i="34"/>
  <c r="K42" i="34"/>
  <c r="K41" i="34"/>
  <c r="M41" i="34" s="1"/>
  <c r="O41" i="34" s="1"/>
  <c r="O40" i="34"/>
  <c r="N40" i="34"/>
  <c r="M40" i="34"/>
  <c r="K40" i="34"/>
  <c r="N39" i="34"/>
  <c r="K39" i="34"/>
  <c r="M39" i="34" s="1"/>
  <c r="O39" i="34" s="1"/>
  <c r="J38" i="34"/>
  <c r="K38" i="34" s="1"/>
  <c r="M38" i="34" s="1"/>
  <c r="O38" i="34" s="1"/>
  <c r="J37" i="34"/>
  <c r="K37" i="34" s="1"/>
  <c r="M37" i="34" s="1"/>
  <c r="K36" i="34"/>
  <c r="J36" i="34"/>
  <c r="N32" i="34"/>
  <c r="K32" i="34"/>
  <c r="M32" i="34" s="1"/>
  <c r="O32" i="34" s="1"/>
  <c r="O31" i="34"/>
  <c r="N31" i="34"/>
  <c r="M31" i="34"/>
  <c r="K31" i="34"/>
  <c r="J30" i="34"/>
  <c r="K30" i="34" s="1"/>
  <c r="M30" i="34" s="1"/>
  <c r="O30" i="34" s="1"/>
  <c r="O29" i="34"/>
  <c r="N29" i="34"/>
  <c r="M29" i="34"/>
  <c r="K29" i="34"/>
  <c r="O28" i="34"/>
  <c r="K28" i="34"/>
  <c r="M28" i="34" s="1"/>
  <c r="N28" i="34" s="1"/>
  <c r="J28" i="34"/>
  <c r="K27" i="34"/>
  <c r="M27" i="34" s="1"/>
  <c r="M26" i="34"/>
  <c r="K26" i="34"/>
  <c r="K25" i="34"/>
  <c r="M25" i="34" s="1"/>
  <c r="M24" i="34"/>
  <c r="K24" i="34"/>
  <c r="K23" i="34"/>
  <c r="M23" i="34" s="1"/>
  <c r="K22" i="34"/>
  <c r="M22" i="34" s="1"/>
  <c r="K21" i="34"/>
  <c r="M21" i="34" s="1"/>
  <c r="K20" i="34"/>
  <c r="M20" i="34" s="1"/>
  <c r="K19" i="34"/>
  <c r="M19" i="34" s="1"/>
  <c r="M18" i="34"/>
  <c r="K18" i="34"/>
  <c r="K17" i="34"/>
  <c r="M17" i="34" s="1"/>
  <c r="K16" i="34"/>
  <c r="M16" i="34" s="1"/>
  <c r="K15" i="34"/>
  <c r="M15" i="34" s="1"/>
  <c r="K14" i="34"/>
  <c r="K12" i="34" s="1"/>
  <c r="I12" i="34"/>
  <c r="G12" i="34"/>
  <c r="H12" i="34" s="1"/>
  <c r="E12" i="34"/>
  <c r="E9" i="34"/>
  <c r="O7" i="34"/>
  <c r="H7" i="34"/>
  <c r="D7" i="34"/>
  <c r="H5" i="34"/>
  <c r="D5" i="34"/>
  <c r="H3" i="34"/>
  <c r="D3" i="34"/>
  <c r="O37" i="33"/>
  <c r="N37" i="33"/>
  <c r="M37" i="33"/>
  <c r="K37" i="33"/>
  <c r="K36" i="33"/>
  <c r="M36" i="33" s="1"/>
  <c r="O36" i="33" s="1"/>
  <c r="O35" i="33"/>
  <c r="N35" i="33"/>
  <c r="M35" i="33"/>
  <c r="K35" i="33"/>
  <c r="N34" i="33"/>
  <c r="K34" i="33"/>
  <c r="M34" i="33" s="1"/>
  <c r="O34" i="33" s="1"/>
  <c r="O33" i="33"/>
  <c r="N33" i="33"/>
  <c r="M33" i="33"/>
  <c r="K33" i="33"/>
  <c r="K32" i="33"/>
  <c r="M32" i="33" s="1"/>
  <c r="O32" i="33" s="1"/>
  <c r="O31" i="33"/>
  <c r="N31" i="33"/>
  <c r="M31" i="33"/>
  <c r="K31" i="33"/>
  <c r="N30" i="33"/>
  <c r="K30" i="33"/>
  <c r="M30" i="33" s="1"/>
  <c r="O30" i="33" s="1"/>
  <c r="O29" i="33"/>
  <c r="N29" i="33"/>
  <c r="J29" i="33"/>
  <c r="K29" i="33" s="1"/>
  <c r="M29" i="33" s="1"/>
  <c r="J28" i="33"/>
  <c r="K28" i="33" s="1"/>
  <c r="M28" i="33" s="1"/>
  <c r="K27" i="33"/>
  <c r="J27" i="33"/>
  <c r="N23" i="33"/>
  <c r="K23" i="33"/>
  <c r="M23" i="33" s="1"/>
  <c r="O23" i="33" s="1"/>
  <c r="O22" i="33"/>
  <c r="N22" i="33"/>
  <c r="M22" i="33"/>
  <c r="K22" i="33"/>
  <c r="K21" i="33"/>
  <c r="M21" i="33" s="1"/>
  <c r="O21" i="33" s="1"/>
  <c r="O20" i="33"/>
  <c r="N20" i="33"/>
  <c r="M20" i="33"/>
  <c r="K20" i="33"/>
  <c r="N19" i="33"/>
  <c r="K19" i="33"/>
  <c r="M19" i="33" s="1"/>
  <c r="O19" i="33" s="1"/>
  <c r="O18" i="33"/>
  <c r="N18" i="33"/>
  <c r="M18" i="33"/>
  <c r="K18" i="33"/>
  <c r="K17" i="33"/>
  <c r="M17" i="33" s="1"/>
  <c r="O17" i="33" s="1"/>
  <c r="O16" i="33"/>
  <c r="N16" i="33"/>
  <c r="M16" i="33"/>
  <c r="K16" i="33"/>
  <c r="N15" i="33"/>
  <c r="K15" i="33"/>
  <c r="M15" i="33" s="1"/>
  <c r="O14" i="33"/>
  <c r="N14" i="33"/>
  <c r="M14" i="33"/>
  <c r="K14" i="33"/>
  <c r="L12" i="33"/>
  <c r="K12" i="33"/>
  <c r="I12" i="33"/>
  <c r="H12" i="33"/>
  <c r="G12" i="33"/>
  <c r="E12" i="33"/>
  <c r="E9" i="33"/>
  <c r="O7" i="33"/>
  <c r="H7" i="33"/>
  <c r="D7" i="33"/>
  <c r="H5" i="33"/>
  <c r="D5" i="33"/>
  <c r="H3" i="33"/>
  <c r="D3" i="33"/>
  <c r="H62" i="32"/>
  <c r="J62" i="32" s="1"/>
  <c r="J61" i="32"/>
  <c r="H61" i="32"/>
  <c r="H60" i="32"/>
  <c r="J60" i="32" s="1"/>
  <c r="J59" i="32"/>
  <c r="H59" i="32"/>
  <c r="H58" i="32"/>
  <c r="J58" i="32" s="1"/>
  <c r="J57" i="32"/>
  <c r="H57" i="32"/>
  <c r="H56" i="32"/>
  <c r="J56" i="32" s="1"/>
  <c r="H55" i="32"/>
  <c r="J55" i="32" s="1"/>
  <c r="H54" i="32"/>
  <c r="J54" i="32" s="1"/>
  <c r="H53" i="32"/>
  <c r="K50" i="32"/>
  <c r="L50" i="32" s="1"/>
  <c r="J50" i="32"/>
  <c r="H50" i="32"/>
  <c r="J49" i="32"/>
  <c r="K49" i="32" s="1"/>
  <c r="L49" i="32" s="1"/>
  <c r="H49" i="32"/>
  <c r="J48" i="32"/>
  <c r="K48" i="32" s="1"/>
  <c r="L48" i="32" s="1"/>
  <c r="H48" i="32"/>
  <c r="J47" i="32"/>
  <c r="K47" i="32" s="1"/>
  <c r="L47" i="32" s="1"/>
  <c r="H47" i="32"/>
  <c r="J46" i="32"/>
  <c r="K46" i="32" s="1"/>
  <c r="L46" i="32" s="1"/>
  <c r="H46" i="32"/>
  <c r="J45" i="32"/>
  <c r="K45" i="32" s="1"/>
  <c r="L45" i="32" s="1"/>
  <c r="H45" i="32"/>
  <c r="K44" i="32"/>
  <c r="L44" i="32" s="1"/>
  <c r="J44" i="32"/>
  <c r="H44" i="32"/>
  <c r="J43" i="32"/>
  <c r="K43" i="32" s="1"/>
  <c r="L43" i="32" s="1"/>
  <c r="H43" i="32"/>
  <c r="K42" i="32"/>
  <c r="L42" i="32" s="1"/>
  <c r="J42" i="32"/>
  <c r="H42" i="32"/>
  <c r="J41" i="32"/>
  <c r="K41" i="32" s="1"/>
  <c r="L41" i="32" s="1"/>
  <c r="H41" i="32"/>
  <c r="K40" i="32"/>
  <c r="L40" i="32" s="1"/>
  <c r="J40" i="32"/>
  <c r="H40" i="32"/>
  <c r="J39" i="32"/>
  <c r="K39" i="32" s="1"/>
  <c r="L39" i="32" s="1"/>
  <c r="H39" i="32"/>
  <c r="J37" i="32"/>
  <c r="K37" i="32" s="1"/>
  <c r="L37" i="32" s="1"/>
  <c r="H37" i="32"/>
  <c r="J36" i="32"/>
  <c r="K36" i="32" s="1"/>
  <c r="L36" i="32" s="1"/>
  <c r="H36" i="32"/>
  <c r="J35" i="32"/>
  <c r="K35" i="32" s="1"/>
  <c r="L35" i="32" s="1"/>
  <c r="H35" i="32"/>
  <c r="L33" i="32"/>
  <c r="K33" i="32"/>
  <c r="G33" i="32"/>
  <c r="H33" i="32" s="1"/>
  <c r="J33" i="32" s="1"/>
  <c r="G32" i="32"/>
  <c r="H32" i="32" s="1"/>
  <c r="J32" i="32" s="1"/>
  <c r="K32" i="32" s="1"/>
  <c r="L32" i="32" s="1"/>
  <c r="J31" i="32"/>
  <c r="K31" i="32" s="1"/>
  <c r="L31" i="32" s="1"/>
  <c r="H30" i="32"/>
  <c r="J30" i="32" s="1"/>
  <c r="K30" i="32" s="1"/>
  <c r="L30" i="32" s="1"/>
  <c r="L29" i="32"/>
  <c r="H29" i="32"/>
  <c r="J29" i="32" s="1"/>
  <c r="K29" i="32" s="1"/>
  <c r="H28" i="32"/>
  <c r="J28" i="32" s="1"/>
  <c r="K28" i="32" s="1"/>
  <c r="L28" i="32" s="1"/>
  <c r="L27" i="32"/>
  <c r="H27" i="32"/>
  <c r="J27" i="32" s="1"/>
  <c r="K27" i="32" s="1"/>
  <c r="H26" i="32"/>
  <c r="J26" i="32" s="1"/>
  <c r="K26" i="32" s="1"/>
  <c r="L26" i="32" s="1"/>
  <c r="L25" i="32"/>
  <c r="H25" i="32"/>
  <c r="J25" i="32" s="1"/>
  <c r="K25" i="32" s="1"/>
  <c r="L24" i="32"/>
  <c r="K24" i="32"/>
  <c r="K23" i="32"/>
  <c r="L23" i="32" s="1"/>
  <c r="J23" i="32"/>
  <c r="H23" i="32"/>
  <c r="G23" i="32"/>
  <c r="K22" i="32"/>
  <c r="L22" i="32" s="1"/>
  <c r="G22" i="32"/>
  <c r="H22" i="32" s="1"/>
  <c r="J22" i="32" s="1"/>
  <c r="G21" i="32"/>
  <c r="H21" i="32" s="1"/>
  <c r="J21" i="32" s="1"/>
  <c r="K21" i="32" s="1"/>
  <c r="L21" i="32" s="1"/>
  <c r="J20" i="32"/>
  <c r="K20" i="32" s="1"/>
  <c r="L20" i="32" s="1"/>
  <c r="H20" i="32"/>
  <c r="G20" i="32"/>
  <c r="J19" i="32"/>
  <c r="K19" i="32" s="1"/>
  <c r="L19" i="32" s="1"/>
  <c r="G19" i="32"/>
  <c r="H19" i="32" s="1"/>
  <c r="G18" i="32"/>
  <c r="H18" i="32" s="1"/>
  <c r="J18" i="32" s="1"/>
  <c r="K18" i="32" s="1"/>
  <c r="L18" i="32" s="1"/>
  <c r="G17" i="32"/>
  <c r="H17" i="32" s="1"/>
  <c r="J17" i="32" s="1"/>
  <c r="K17" i="32" s="1"/>
  <c r="L17" i="32" s="1"/>
  <c r="H16" i="32"/>
  <c r="G16" i="32"/>
  <c r="K15" i="32"/>
  <c r="L15" i="32" s="1"/>
  <c r="J15" i="32"/>
  <c r="H15" i="32"/>
  <c r="G15" i="32"/>
  <c r="D9" i="32"/>
  <c r="L7" i="32"/>
  <c r="G7" i="32"/>
  <c r="C7" i="32"/>
  <c r="G5" i="32"/>
  <c r="C5" i="32"/>
  <c r="G3" i="32"/>
  <c r="C3" i="32"/>
  <c r="J61" i="31"/>
  <c r="H61" i="31"/>
  <c r="H60" i="31"/>
  <c r="J60" i="31" s="1"/>
  <c r="J59" i="31"/>
  <c r="H59" i="31"/>
  <c r="H58" i="31"/>
  <c r="J58" i="31" s="1"/>
  <c r="J57" i="31"/>
  <c r="H57" i="31"/>
  <c r="H56" i="31"/>
  <c r="J56" i="31" s="1"/>
  <c r="H55" i="31"/>
  <c r="J55" i="31" s="1"/>
  <c r="H54" i="31"/>
  <c r="J54" i="31" s="1"/>
  <c r="H53" i="31"/>
  <c r="J53" i="31" s="1"/>
  <c r="H52" i="31"/>
  <c r="J49" i="31"/>
  <c r="K49" i="31" s="1"/>
  <c r="L49" i="31" s="1"/>
  <c r="H49" i="31"/>
  <c r="K48" i="31"/>
  <c r="L48" i="31" s="1"/>
  <c r="J48" i="31"/>
  <c r="H48" i="31"/>
  <c r="J47" i="31"/>
  <c r="K47" i="31" s="1"/>
  <c r="L47" i="31" s="1"/>
  <c r="H47" i="31"/>
  <c r="K46" i="31"/>
  <c r="L46" i="31" s="1"/>
  <c r="J46" i="31"/>
  <c r="H46" i="31"/>
  <c r="J45" i="31"/>
  <c r="K45" i="31" s="1"/>
  <c r="L45" i="31" s="1"/>
  <c r="H45" i="31"/>
  <c r="S44" i="31"/>
  <c r="L44" i="31"/>
  <c r="K44" i="31"/>
  <c r="J44" i="31"/>
  <c r="H44" i="31"/>
  <c r="S43" i="31"/>
  <c r="L43" i="31"/>
  <c r="H43" i="31"/>
  <c r="J43" i="31" s="1"/>
  <c r="K43" i="31" s="1"/>
  <c r="S42" i="31"/>
  <c r="H42" i="31"/>
  <c r="J42" i="31" s="1"/>
  <c r="K42" i="31" s="1"/>
  <c r="L42" i="31" s="1"/>
  <c r="S41" i="31"/>
  <c r="K41" i="31"/>
  <c r="L41" i="31" s="1"/>
  <c r="J41" i="31"/>
  <c r="H41" i="31"/>
  <c r="S40" i="31"/>
  <c r="H40" i="31"/>
  <c r="J40" i="31" s="1"/>
  <c r="K40" i="31" s="1"/>
  <c r="L40" i="31" s="1"/>
  <c r="S39" i="31"/>
  <c r="L39" i="31"/>
  <c r="H39" i="31"/>
  <c r="J39" i="31" s="1"/>
  <c r="K39" i="31" s="1"/>
  <c r="S38" i="31"/>
  <c r="H38" i="31"/>
  <c r="J38" i="31" s="1"/>
  <c r="K38" i="31" s="1"/>
  <c r="L38" i="31" s="1"/>
  <c r="H36" i="31"/>
  <c r="J36" i="31" s="1"/>
  <c r="K36" i="31" s="1"/>
  <c r="L36" i="31" s="1"/>
  <c r="H35" i="31"/>
  <c r="J35" i="31" s="1"/>
  <c r="K35" i="31" s="1"/>
  <c r="L35" i="31" s="1"/>
  <c r="H34" i="31"/>
  <c r="J34" i="31" s="1"/>
  <c r="K34" i="31" s="1"/>
  <c r="L34" i="31" s="1"/>
  <c r="G32" i="31"/>
  <c r="H32" i="31" s="1"/>
  <c r="J32" i="31" s="1"/>
  <c r="K32" i="31" s="1"/>
  <c r="L32" i="31" s="1"/>
  <c r="G31" i="31"/>
  <c r="H31" i="31" s="1"/>
  <c r="J31" i="31" s="1"/>
  <c r="K31" i="31" s="1"/>
  <c r="L31" i="31" s="1"/>
  <c r="L30" i="31"/>
  <c r="J30" i="31"/>
  <c r="K30" i="31" s="1"/>
  <c r="K29" i="31"/>
  <c r="L29" i="31" s="1"/>
  <c r="J29" i="31"/>
  <c r="H29" i="31"/>
  <c r="H28" i="31"/>
  <c r="J28" i="31" s="1"/>
  <c r="K28" i="31" s="1"/>
  <c r="L28" i="31" s="1"/>
  <c r="L27" i="31"/>
  <c r="K27" i="31"/>
  <c r="J27" i="31"/>
  <c r="H27" i="31"/>
  <c r="K26" i="31"/>
  <c r="L26" i="31" s="1"/>
  <c r="H26" i="31"/>
  <c r="J26" i="31" s="1"/>
  <c r="K25" i="31"/>
  <c r="L25" i="31" s="1"/>
  <c r="J25" i="31"/>
  <c r="H25" i="31"/>
  <c r="H24" i="31"/>
  <c r="J24" i="31" s="1"/>
  <c r="K24" i="31" s="1"/>
  <c r="L24" i="31" s="1"/>
  <c r="L23" i="31"/>
  <c r="K23" i="31"/>
  <c r="J23" i="31"/>
  <c r="J22" i="31"/>
  <c r="K22" i="31" s="1"/>
  <c r="L22" i="31" s="1"/>
  <c r="G22" i="31"/>
  <c r="H22" i="31" s="1"/>
  <c r="G21" i="31"/>
  <c r="H21" i="31" s="1"/>
  <c r="J21" i="31" s="1"/>
  <c r="K21" i="31" s="1"/>
  <c r="L21" i="31" s="1"/>
  <c r="L20" i="31"/>
  <c r="H20" i="31"/>
  <c r="J20" i="31" s="1"/>
  <c r="K20" i="31" s="1"/>
  <c r="H19" i="31"/>
  <c r="J19" i="31" s="1"/>
  <c r="K19" i="31" s="1"/>
  <c r="L19" i="31" s="1"/>
  <c r="L18" i="31"/>
  <c r="H18" i="31"/>
  <c r="J18" i="31" s="1"/>
  <c r="K18" i="31" s="1"/>
  <c r="H17" i="31"/>
  <c r="J17" i="31" s="1"/>
  <c r="K17" i="31" s="1"/>
  <c r="L17" i="31" s="1"/>
  <c r="L16" i="31"/>
  <c r="H16" i="31"/>
  <c r="J16" i="31" s="1"/>
  <c r="K16" i="31" s="1"/>
  <c r="G15" i="31"/>
  <c r="H15" i="31" s="1"/>
  <c r="D9" i="31"/>
  <c r="L7" i="31"/>
  <c r="G7" i="31"/>
  <c r="C7" i="31"/>
  <c r="G5" i="31"/>
  <c r="C5" i="31"/>
  <c r="G3" i="31"/>
  <c r="C3" i="31"/>
  <c r="K55" i="30"/>
  <c r="J55" i="30"/>
  <c r="I55" i="30"/>
  <c r="G55" i="30"/>
  <c r="J54" i="30"/>
  <c r="G54" i="30"/>
  <c r="I54" i="30" s="1"/>
  <c r="K54" i="30" s="1"/>
  <c r="K53" i="30"/>
  <c r="J53" i="30"/>
  <c r="I53" i="30"/>
  <c r="G53" i="30"/>
  <c r="G52" i="30"/>
  <c r="I52" i="30" s="1"/>
  <c r="K52" i="30" s="1"/>
  <c r="K51" i="30"/>
  <c r="J51" i="30"/>
  <c r="F51" i="30"/>
  <c r="G51" i="30" s="1"/>
  <c r="I51" i="30" s="1"/>
  <c r="F50" i="30"/>
  <c r="G50" i="30" s="1"/>
  <c r="I50" i="30" s="1"/>
  <c r="G49" i="30"/>
  <c r="I49" i="30" s="1"/>
  <c r="F49" i="30"/>
  <c r="J48" i="30"/>
  <c r="I48" i="30"/>
  <c r="K48" i="30" s="1"/>
  <c r="G48" i="30"/>
  <c r="F48" i="30"/>
  <c r="F47" i="30"/>
  <c r="G47" i="30" s="1"/>
  <c r="I47" i="30" s="1"/>
  <c r="K47" i="30" s="1"/>
  <c r="F46" i="30"/>
  <c r="G46" i="30" s="1"/>
  <c r="I45" i="30"/>
  <c r="G45" i="30"/>
  <c r="F45" i="30"/>
  <c r="F44" i="30"/>
  <c r="G44" i="30" s="1"/>
  <c r="I44" i="30" s="1"/>
  <c r="G41" i="30"/>
  <c r="I41" i="30" s="1"/>
  <c r="J41" i="30" s="1"/>
  <c r="K40" i="30"/>
  <c r="F40" i="30"/>
  <c r="G40" i="30" s="1"/>
  <c r="I40" i="30" s="1"/>
  <c r="J40" i="30" s="1"/>
  <c r="G39" i="30"/>
  <c r="I39" i="30" s="1"/>
  <c r="F39" i="30"/>
  <c r="F38" i="30"/>
  <c r="G38" i="30" s="1"/>
  <c r="I38" i="30" s="1"/>
  <c r="K37" i="30"/>
  <c r="J37" i="30"/>
  <c r="I37" i="30"/>
  <c r="G37" i="30"/>
  <c r="F36" i="30"/>
  <c r="G36" i="30" s="1"/>
  <c r="I36" i="30" s="1"/>
  <c r="K36" i="30" s="1"/>
  <c r="F35" i="30"/>
  <c r="G35" i="30" s="1"/>
  <c r="I35" i="30" s="1"/>
  <c r="J35" i="30" s="1"/>
  <c r="I34" i="30"/>
  <c r="G34" i="30"/>
  <c r="G33" i="30"/>
  <c r="I33" i="30" s="1"/>
  <c r="G32" i="30"/>
  <c r="I32" i="30" s="1"/>
  <c r="G31" i="30"/>
  <c r="I31" i="30" s="1"/>
  <c r="F31" i="30"/>
  <c r="I30" i="30"/>
  <c r="K30" i="30" s="1"/>
  <c r="G30" i="30"/>
  <c r="F30" i="30"/>
  <c r="F29" i="30"/>
  <c r="G29" i="30" s="1"/>
  <c r="I29" i="30" s="1"/>
  <c r="K29" i="30" s="1"/>
  <c r="K28" i="30"/>
  <c r="F28" i="30"/>
  <c r="G28" i="30" s="1"/>
  <c r="I28" i="30" s="1"/>
  <c r="J28" i="30" s="1"/>
  <c r="G27" i="30"/>
  <c r="I27" i="30" s="1"/>
  <c r="F27" i="30"/>
  <c r="I26" i="30"/>
  <c r="F26" i="30"/>
  <c r="G26" i="30" s="1"/>
  <c r="J25" i="30"/>
  <c r="F25" i="30"/>
  <c r="G25" i="30" s="1"/>
  <c r="I25" i="30" s="1"/>
  <c r="K25" i="30" s="1"/>
  <c r="G24" i="30"/>
  <c r="I24" i="30" s="1"/>
  <c r="J24" i="30" s="1"/>
  <c r="F24" i="30"/>
  <c r="G23" i="30"/>
  <c r="I23" i="30" s="1"/>
  <c r="F23" i="30"/>
  <c r="I22" i="30"/>
  <c r="K22" i="30" s="1"/>
  <c r="G22" i="30"/>
  <c r="F22" i="30"/>
  <c r="J21" i="30"/>
  <c r="F21" i="30"/>
  <c r="G21" i="30" s="1"/>
  <c r="I21" i="30" s="1"/>
  <c r="K21" i="30" s="1"/>
  <c r="K20" i="30"/>
  <c r="F20" i="30"/>
  <c r="G20" i="30" s="1"/>
  <c r="I20" i="30" s="1"/>
  <c r="J20" i="30" s="1"/>
  <c r="G19" i="30"/>
  <c r="I19" i="30" s="1"/>
  <c r="F19" i="30"/>
  <c r="I18" i="30"/>
  <c r="G18" i="30"/>
  <c r="I17" i="30"/>
  <c r="J17" i="30" s="1"/>
  <c r="K16" i="30"/>
  <c r="F16" i="30"/>
  <c r="G16" i="30" s="1"/>
  <c r="I16" i="30" s="1"/>
  <c r="J16" i="30" s="1"/>
  <c r="G15" i="30"/>
  <c r="I15" i="30" s="1"/>
  <c r="F15" i="30"/>
  <c r="F14" i="30"/>
  <c r="G14" i="30" s="1"/>
  <c r="G13" i="30" s="1"/>
  <c r="D10" i="30"/>
  <c r="K7" i="30"/>
  <c r="F7" i="30"/>
  <c r="C7" i="30"/>
  <c r="F5" i="30"/>
  <c r="C5" i="30"/>
  <c r="F3" i="30"/>
  <c r="C3" i="30"/>
  <c r="I66" i="29"/>
  <c r="K66" i="29" s="1"/>
  <c r="G66" i="29"/>
  <c r="I65" i="29"/>
  <c r="G65" i="29"/>
  <c r="I64" i="29"/>
  <c r="K64" i="29" s="1"/>
  <c r="G64" i="29"/>
  <c r="I63" i="29"/>
  <c r="G63" i="29"/>
  <c r="J62" i="29"/>
  <c r="I62" i="29"/>
  <c r="K62" i="29" s="1"/>
  <c r="G62" i="29"/>
  <c r="I61" i="29"/>
  <c r="G61" i="29"/>
  <c r="I60" i="29"/>
  <c r="K60" i="29" s="1"/>
  <c r="G60" i="29"/>
  <c r="I59" i="29"/>
  <c r="G59" i="29"/>
  <c r="I58" i="29"/>
  <c r="K58" i="29" s="1"/>
  <c r="G58" i="29"/>
  <c r="F58" i="29"/>
  <c r="F57" i="29"/>
  <c r="G57" i="29" s="1"/>
  <c r="I57" i="29" s="1"/>
  <c r="I54" i="29"/>
  <c r="K54" i="29" s="1"/>
  <c r="G54" i="29"/>
  <c r="G53" i="29"/>
  <c r="I53" i="29" s="1"/>
  <c r="K53" i="29" s="1"/>
  <c r="O52" i="29"/>
  <c r="K52" i="29"/>
  <c r="J52" i="29"/>
  <c r="I52" i="29"/>
  <c r="G52" i="29"/>
  <c r="G51" i="29"/>
  <c r="I51" i="29" s="1"/>
  <c r="I50" i="29"/>
  <c r="G50" i="29"/>
  <c r="K49" i="29"/>
  <c r="J49" i="29"/>
  <c r="P49" i="29" s="1"/>
  <c r="I49" i="29"/>
  <c r="G49" i="29"/>
  <c r="G48" i="29"/>
  <c r="I48" i="29" s="1"/>
  <c r="J48" i="29" s="1"/>
  <c r="P48" i="29" s="1"/>
  <c r="G47" i="29"/>
  <c r="I47" i="29" s="1"/>
  <c r="J46" i="29"/>
  <c r="P46" i="29" s="1"/>
  <c r="I46" i="29"/>
  <c r="K46" i="29" s="1"/>
  <c r="G46" i="29"/>
  <c r="J45" i="29"/>
  <c r="P45" i="29" s="1"/>
  <c r="G45" i="29"/>
  <c r="I45" i="29" s="1"/>
  <c r="K45" i="29" s="1"/>
  <c r="P44" i="29"/>
  <c r="K44" i="29"/>
  <c r="J44" i="29"/>
  <c r="I44" i="29"/>
  <c r="G44" i="29"/>
  <c r="I43" i="29"/>
  <c r="G43" i="29"/>
  <c r="I42" i="29"/>
  <c r="G42" i="29"/>
  <c r="K41" i="29"/>
  <c r="J41" i="29"/>
  <c r="P41" i="29" s="1"/>
  <c r="I41" i="29"/>
  <c r="G41" i="29"/>
  <c r="K40" i="29"/>
  <c r="G40" i="29"/>
  <c r="I40" i="29" s="1"/>
  <c r="J40" i="29" s="1"/>
  <c r="P40" i="29" s="1"/>
  <c r="G39" i="29"/>
  <c r="I39" i="29" s="1"/>
  <c r="J38" i="29"/>
  <c r="N38" i="29" s="1"/>
  <c r="I38" i="29"/>
  <c r="K38" i="29" s="1"/>
  <c r="G38" i="29"/>
  <c r="G37" i="29"/>
  <c r="I37" i="29" s="1"/>
  <c r="K37" i="29" s="1"/>
  <c r="F36" i="29"/>
  <c r="G36" i="29" s="1"/>
  <c r="I36" i="29" s="1"/>
  <c r="J36" i="29" s="1"/>
  <c r="N36" i="29" s="1"/>
  <c r="J35" i="29"/>
  <c r="N35" i="29" s="1"/>
  <c r="I35" i="29"/>
  <c r="K35" i="29" s="1"/>
  <c r="G35" i="29"/>
  <c r="G34" i="29"/>
  <c r="I34" i="29" s="1"/>
  <c r="K34" i="29" s="1"/>
  <c r="N33" i="29"/>
  <c r="K33" i="29"/>
  <c r="J33" i="29"/>
  <c r="I33" i="29"/>
  <c r="G33" i="29"/>
  <c r="G32" i="29"/>
  <c r="I32" i="29" s="1"/>
  <c r="I31" i="29"/>
  <c r="G31" i="29"/>
  <c r="K30" i="29"/>
  <c r="J30" i="29"/>
  <c r="N30" i="29" s="1"/>
  <c r="I30" i="29"/>
  <c r="G30" i="29"/>
  <c r="G29" i="29"/>
  <c r="I29" i="29" s="1"/>
  <c r="J29" i="29" s="1"/>
  <c r="N29" i="29" s="1"/>
  <c r="G28" i="29"/>
  <c r="I28" i="29" s="1"/>
  <c r="F28" i="29"/>
  <c r="K27" i="29"/>
  <c r="J27" i="29"/>
  <c r="N27" i="29" s="1"/>
  <c r="F27" i="29"/>
  <c r="G27" i="29" s="1"/>
  <c r="I27" i="29" s="1"/>
  <c r="I26" i="29"/>
  <c r="G26" i="29"/>
  <c r="F26" i="29"/>
  <c r="J25" i="29"/>
  <c r="N25" i="29" s="1"/>
  <c r="F25" i="29"/>
  <c r="G25" i="29" s="1"/>
  <c r="I25" i="29" s="1"/>
  <c r="K25" i="29" s="1"/>
  <c r="G24" i="29"/>
  <c r="I24" i="29" s="1"/>
  <c r="I23" i="29"/>
  <c r="K23" i="29" s="1"/>
  <c r="G23" i="29"/>
  <c r="G22" i="29"/>
  <c r="I22" i="29" s="1"/>
  <c r="K22" i="29" s="1"/>
  <c r="M21" i="29"/>
  <c r="K21" i="29"/>
  <c r="G21" i="29"/>
  <c r="I21" i="29" s="1"/>
  <c r="J21" i="29" s="1"/>
  <c r="I20" i="29"/>
  <c r="G20" i="29"/>
  <c r="F19" i="29"/>
  <c r="G19" i="29" s="1"/>
  <c r="I19" i="29" s="1"/>
  <c r="M18" i="29"/>
  <c r="K18" i="29"/>
  <c r="F18" i="29"/>
  <c r="G18" i="29" s="1"/>
  <c r="I18" i="29" s="1"/>
  <c r="J18" i="29" s="1"/>
  <c r="I17" i="29"/>
  <c r="K17" i="29" s="1"/>
  <c r="G17" i="29"/>
  <c r="G16" i="29"/>
  <c r="I16" i="29" s="1"/>
  <c r="K16" i="29" s="1"/>
  <c r="M15" i="29"/>
  <c r="K15" i="29"/>
  <c r="F15" i="29"/>
  <c r="G15" i="29" s="1"/>
  <c r="I15" i="29" s="1"/>
  <c r="J15" i="29" s="1"/>
  <c r="I14" i="29"/>
  <c r="K14" i="29" s="1"/>
  <c r="G14" i="29"/>
  <c r="F14" i="29"/>
  <c r="G13" i="29"/>
  <c r="F13" i="29"/>
  <c r="H12" i="29"/>
  <c r="D9" i="29"/>
  <c r="K7" i="29"/>
  <c r="F7" i="29"/>
  <c r="C7" i="29"/>
  <c r="F5" i="29"/>
  <c r="C5" i="29"/>
  <c r="F3" i="29"/>
  <c r="C3" i="29"/>
  <c r="K66" i="28"/>
  <c r="J66" i="28"/>
  <c r="I66" i="28"/>
  <c r="G66" i="28"/>
  <c r="G65" i="28"/>
  <c r="I65" i="28" s="1"/>
  <c r="K65" i="28" s="1"/>
  <c r="K64" i="28"/>
  <c r="J64" i="28"/>
  <c r="I64" i="28"/>
  <c r="G64" i="28"/>
  <c r="J63" i="28"/>
  <c r="G63" i="28"/>
  <c r="I63" i="28" s="1"/>
  <c r="K63" i="28" s="1"/>
  <c r="K62" i="28"/>
  <c r="J62" i="28"/>
  <c r="I62" i="28"/>
  <c r="G62" i="28"/>
  <c r="G61" i="28"/>
  <c r="I61" i="28" s="1"/>
  <c r="K61" i="28" s="1"/>
  <c r="K60" i="28"/>
  <c r="J60" i="28"/>
  <c r="I60" i="28"/>
  <c r="G60" i="28"/>
  <c r="J59" i="28"/>
  <c r="F59" i="28"/>
  <c r="G59" i="28" s="1"/>
  <c r="I59" i="28" s="1"/>
  <c r="K59" i="28" s="1"/>
  <c r="F58" i="28"/>
  <c r="G58" i="28" s="1"/>
  <c r="I58" i="28" s="1"/>
  <c r="J58" i="28" s="1"/>
  <c r="I57" i="28"/>
  <c r="I56" i="28" s="1"/>
  <c r="G57" i="28"/>
  <c r="F57" i="28"/>
  <c r="K54" i="28"/>
  <c r="J54" i="28"/>
  <c r="I54" i="28"/>
  <c r="G54" i="28"/>
  <c r="J53" i="28"/>
  <c r="G53" i="28"/>
  <c r="I53" i="28" s="1"/>
  <c r="K53" i="28" s="1"/>
  <c r="K52" i="28"/>
  <c r="J52" i="28"/>
  <c r="I52" i="28"/>
  <c r="G52" i="28"/>
  <c r="G51" i="28"/>
  <c r="I51" i="28" s="1"/>
  <c r="K51" i="28" s="1"/>
  <c r="K50" i="28"/>
  <c r="J50" i="28"/>
  <c r="I50" i="28"/>
  <c r="G50" i="28"/>
  <c r="J49" i="28"/>
  <c r="G49" i="28"/>
  <c r="I49" i="28" s="1"/>
  <c r="K49" i="28" s="1"/>
  <c r="K48" i="28"/>
  <c r="J48" i="28"/>
  <c r="I48" i="28"/>
  <c r="G48" i="28"/>
  <c r="G47" i="28"/>
  <c r="I47" i="28" s="1"/>
  <c r="K47" i="28" s="1"/>
  <c r="K46" i="28"/>
  <c r="J46" i="28"/>
  <c r="I46" i="28"/>
  <c r="G46" i="28"/>
  <c r="J45" i="28"/>
  <c r="G45" i="28"/>
  <c r="I45" i="28" s="1"/>
  <c r="K45" i="28" s="1"/>
  <c r="K44" i="28"/>
  <c r="J44" i="28"/>
  <c r="I44" i="28"/>
  <c r="G44" i="28"/>
  <c r="G43" i="28"/>
  <c r="I43" i="28" s="1"/>
  <c r="K43" i="28" s="1"/>
  <c r="K42" i="28"/>
  <c r="J42" i="28"/>
  <c r="I42" i="28"/>
  <c r="G42" i="28"/>
  <c r="J41" i="28"/>
  <c r="G41" i="28"/>
  <c r="I41" i="28" s="1"/>
  <c r="K41" i="28" s="1"/>
  <c r="K40" i="28"/>
  <c r="J40" i="28"/>
  <c r="I40" i="28"/>
  <c r="G40" i="28"/>
  <c r="G39" i="28"/>
  <c r="I39" i="28" s="1"/>
  <c r="K39" i="28" s="1"/>
  <c r="K38" i="28"/>
  <c r="J38" i="28"/>
  <c r="I38" i="28"/>
  <c r="G38" i="28"/>
  <c r="J37" i="28"/>
  <c r="G37" i="28"/>
  <c r="I37" i="28" s="1"/>
  <c r="K37" i="28" s="1"/>
  <c r="K36" i="28"/>
  <c r="J36" i="28"/>
  <c r="I36" i="28"/>
  <c r="G36" i="28"/>
  <c r="F36" i="28"/>
  <c r="K35" i="28"/>
  <c r="G35" i="28"/>
  <c r="I35" i="28" s="1"/>
  <c r="J35" i="28" s="1"/>
  <c r="K34" i="28"/>
  <c r="J34" i="28"/>
  <c r="I34" i="28"/>
  <c r="G34" i="28"/>
  <c r="G33" i="28"/>
  <c r="I33" i="28" s="1"/>
  <c r="J33" i="28" s="1"/>
  <c r="K32" i="28"/>
  <c r="J32" i="28"/>
  <c r="I32" i="28"/>
  <c r="G32" i="28"/>
  <c r="G31" i="28"/>
  <c r="I31" i="28" s="1"/>
  <c r="J31" i="28" s="1"/>
  <c r="K30" i="28"/>
  <c r="J30" i="28"/>
  <c r="I30" i="28"/>
  <c r="G30" i="28"/>
  <c r="K29" i="28"/>
  <c r="G29" i="28"/>
  <c r="I29" i="28" s="1"/>
  <c r="J29" i="28" s="1"/>
  <c r="K28" i="28"/>
  <c r="J28" i="28"/>
  <c r="I28" i="28"/>
  <c r="G28" i="28"/>
  <c r="K27" i="28"/>
  <c r="G27" i="28"/>
  <c r="I27" i="28" s="1"/>
  <c r="J27" i="28" s="1"/>
  <c r="K26" i="28"/>
  <c r="J26" i="28"/>
  <c r="I26" i="28"/>
  <c r="G26" i="28"/>
  <c r="G25" i="28"/>
  <c r="I25" i="28" s="1"/>
  <c r="J25" i="28" s="1"/>
  <c r="K24" i="28"/>
  <c r="J24" i="28"/>
  <c r="I24" i="28"/>
  <c r="G24" i="28"/>
  <c r="G23" i="28"/>
  <c r="I23" i="28" s="1"/>
  <c r="J23" i="28" s="1"/>
  <c r="K22" i="28"/>
  <c r="J22" i="28"/>
  <c r="I22" i="28"/>
  <c r="G22" i="28"/>
  <c r="K21" i="28"/>
  <c r="G21" i="28"/>
  <c r="I21" i="28" s="1"/>
  <c r="J21" i="28" s="1"/>
  <c r="K20" i="28"/>
  <c r="J20" i="28"/>
  <c r="I20" i="28"/>
  <c r="G20" i="28"/>
  <c r="K19" i="28"/>
  <c r="G19" i="28"/>
  <c r="I19" i="28" s="1"/>
  <c r="J19" i="28" s="1"/>
  <c r="K18" i="28"/>
  <c r="F18" i="28"/>
  <c r="G18" i="28" s="1"/>
  <c r="I18" i="28" s="1"/>
  <c r="J18" i="28" s="1"/>
  <c r="G17" i="28"/>
  <c r="I17" i="28" s="1"/>
  <c r="G16" i="28"/>
  <c r="I16" i="28" s="1"/>
  <c r="G15" i="28"/>
  <c r="I15" i="28" s="1"/>
  <c r="G14" i="28"/>
  <c r="I14" i="28" s="1"/>
  <c r="I13" i="28"/>
  <c r="G13" i="28"/>
  <c r="D9" i="28"/>
  <c r="K7" i="28"/>
  <c r="F7" i="28"/>
  <c r="C7" i="28"/>
  <c r="F5" i="28"/>
  <c r="C5" i="28"/>
  <c r="F3" i="28"/>
  <c r="C3" i="28"/>
  <c r="R91" i="27"/>
  <c r="R90" i="27"/>
  <c r="R89" i="27"/>
  <c r="R88" i="27"/>
  <c r="R87" i="27"/>
  <c r="R86" i="27"/>
  <c r="R85" i="27"/>
  <c r="R84" i="27"/>
  <c r="R83" i="27"/>
  <c r="R82" i="27"/>
  <c r="R81" i="27"/>
  <c r="R80" i="27"/>
  <c r="R79" i="27"/>
  <c r="R78" i="27"/>
  <c r="R77" i="27"/>
  <c r="R76" i="27"/>
  <c r="R68" i="27"/>
  <c r="R67" i="27"/>
  <c r="R66" i="27"/>
  <c r="R65" i="27"/>
  <c r="R64" i="27"/>
  <c r="R63" i="27"/>
  <c r="R62" i="27"/>
  <c r="R61" i="27"/>
  <c r="R60" i="27"/>
  <c r="R59" i="27"/>
  <c r="R58" i="27"/>
  <c r="R57" i="27"/>
  <c r="R56" i="27"/>
  <c r="R55" i="27"/>
  <c r="R54" i="27"/>
  <c r="R53" i="27"/>
  <c r="R69" i="27" s="1"/>
  <c r="R45" i="27"/>
  <c r="R44" i="27"/>
  <c r="R43" i="27"/>
  <c r="R42" i="27"/>
  <c r="R41" i="27"/>
  <c r="R40" i="27"/>
  <c r="R39" i="27"/>
  <c r="R38" i="27"/>
  <c r="R37" i="27"/>
  <c r="R36" i="27"/>
  <c r="R35" i="27"/>
  <c r="R34" i="27"/>
  <c r="R33" i="27"/>
  <c r="R32" i="27"/>
  <c r="R31" i="27"/>
  <c r="R30" i="27"/>
  <c r="R22" i="27"/>
  <c r="R21" i="27"/>
  <c r="R20" i="27"/>
  <c r="R19" i="27"/>
  <c r="R18" i="27"/>
  <c r="R17" i="27"/>
  <c r="R16" i="27"/>
  <c r="R15" i="27"/>
  <c r="R14" i="27"/>
  <c r="R13" i="27"/>
  <c r="R12" i="27"/>
  <c r="R11" i="27"/>
  <c r="R10" i="27"/>
  <c r="R9" i="27"/>
  <c r="R8" i="27"/>
  <c r="R7" i="27"/>
  <c r="R23" i="27" s="1"/>
  <c r="N2" i="27"/>
  <c r="H2" i="27"/>
  <c r="R91" i="26"/>
  <c r="R90" i="26"/>
  <c r="R89" i="26"/>
  <c r="R88" i="26"/>
  <c r="R87" i="26"/>
  <c r="R86" i="26"/>
  <c r="R85" i="26"/>
  <c r="R84" i="26"/>
  <c r="R83" i="26"/>
  <c r="R82" i="26"/>
  <c r="R81" i="26"/>
  <c r="R80" i="26"/>
  <c r="R79" i="26"/>
  <c r="R78" i="26"/>
  <c r="R77" i="26"/>
  <c r="R76" i="26"/>
  <c r="R68" i="26"/>
  <c r="R67" i="26"/>
  <c r="R66" i="26"/>
  <c r="R65" i="26"/>
  <c r="R64" i="26"/>
  <c r="R63" i="26"/>
  <c r="R62" i="26"/>
  <c r="R61" i="26"/>
  <c r="R60" i="26"/>
  <c r="R59" i="26"/>
  <c r="R58" i="26"/>
  <c r="R57" i="26"/>
  <c r="R56" i="26"/>
  <c r="R55" i="26"/>
  <c r="R54" i="26"/>
  <c r="R53" i="26"/>
  <c r="R69" i="26" s="1"/>
  <c r="R45" i="26"/>
  <c r="R44" i="26"/>
  <c r="R43" i="26"/>
  <c r="R42" i="26"/>
  <c r="R41" i="26"/>
  <c r="R40" i="26"/>
  <c r="R39" i="26"/>
  <c r="R38" i="26"/>
  <c r="R37" i="26"/>
  <c r="R36" i="26"/>
  <c r="R35" i="26"/>
  <c r="R34" i="26"/>
  <c r="R33" i="26"/>
  <c r="R32" i="26"/>
  <c r="R31" i="26"/>
  <c r="R30" i="26"/>
  <c r="R22" i="26"/>
  <c r="R21" i="26"/>
  <c r="R20" i="26"/>
  <c r="R19" i="26"/>
  <c r="R18" i="26"/>
  <c r="R17" i="26"/>
  <c r="R16" i="26"/>
  <c r="R15" i="26"/>
  <c r="R14" i="26"/>
  <c r="R13" i="26"/>
  <c r="R12" i="26"/>
  <c r="R11" i="26"/>
  <c r="R10" i="26"/>
  <c r="R9" i="26"/>
  <c r="R8" i="26"/>
  <c r="R7" i="26"/>
  <c r="R23" i="26" s="1"/>
  <c r="N2" i="26"/>
  <c r="H2" i="26"/>
  <c r="R45" i="25"/>
  <c r="R44" i="25"/>
  <c r="R43" i="25"/>
  <c r="R42" i="25"/>
  <c r="R41" i="25"/>
  <c r="R40" i="25"/>
  <c r="R39" i="25"/>
  <c r="R38" i="25"/>
  <c r="R37" i="25"/>
  <c r="R36" i="25"/>
  <c r="R35" i="25"/>
  <c r="R34" i="25"/>
  <c r="R33" i="25"/>
  <c r="R32" i="25"/>
  <c r="R31" i="25"/>
  <c r="R30" i="25"/>
  <c r="R46" i="25" s="1"/>
  <c r="R22" i="25"/>
  <c r="R21" i="25"/>
  <c r="R20" i="25"/>
  <c r="R19" i="25"/>
  <c r="R18" i="25"/>
  <c r="R17" i="25"/>
  <c r="R16" i="25"/>
  <c r="R15" i="25"/>
  <c r="R14" i="25"/>
  <c r="R13" i="25"/>
  <c r="R12" i="25"/>
  <c r="R11" i="25"/>
  <c r="R10" i="25"/>
  <c r="R9" i="25"/>
  <c r="R8" i="25"/>
  <c r="R7" i="25"/>
  <c r="R23" i="25" s="1"/>
  <c r="N2" i="25"/>
  <c r="H2" i="25"/>
  <c r="N46" i="24"/>
  <c r="M46" i="24"/>
  <c r="O46" i="24" s="1"/>
  <c r="K46" i="24"/>
  <c r="M45" i="24"/>
  <c r="O45" i="24" s="1"/>
  <c r="K45" i="24"/>
  <c r="N44" i="24"/>
  <c r="M44" i="24"/>
  <c r="O44" i="24" s="1"/>
  <c r="K44" i="24"/>
  <c r="M43" i="24"/>
  <c r="O43" i="24" s="1"/>
  <c r="K43" i="24"/>
  <c r="N42" i="24"/>
  <c r="M42" i="24"/>
  <c r="O42" i="24" s="1"/>
  <c r="K42" i="24"/>
  <c r="M41" i="24"/>
  <c r="O41" i="24" s="1"/>
  <c r="K41" i="24"/>
  <c r="N40" i="24"/>
  <c r="M40" i="24"/>
  <c r="O40" i="24" s="1"/>
  <c r="K40" i="24"/>
  <c r="M39" i="24"/>
  <c r="O39" i="24" s="1"/>
  <c r="K39" i="24"/>
  <c r="N38" i="24"/>
  <c r="M38" i="24"/>
  <c r="O38" i="24" s="1"/>
  <c r="K38" i="24"/>
  <c r="J38" i="24"/>
  <c r="J37" i="24"/>
  <c r="K37" i="24" s="1"/>
  <c r="M37" i="24" s="1"/>
  <c r="J36" i="24"/>
  <c r="K36" i="24" s="1"/>
  <c r="M32" i="24"/>
  <c r="O32" i="24" s="1"/>
  <c r="K32" i="24"/>
  <c r="N31" i="24"/>
  <c r="M31" i="24"/>
  <c r="O31" i="24" s="1"/>
  <c r="K31" i="24"/>
  <c r="J30" i="24"/>
  <c r="K30" i="24" s="1"/>
  <c r="M30" i="24" s="1"/>
  <c r="O29" i="24"/>
  <c r="N29" i="24"/>
  <c r="M29" i="24"/>
  <c r="K29" i="24"/>
  <c r="J28" i="24"/>
  <c r="K28" i="24" s="1"/>
  <c r="M28" i="24" s="1"/>
  <c r="K27" i="24"/>
  <c r="M27" i="24" s="1"/>
  <c r="K26" i="24"/>
  <c r="M26" i="24" s="1"/>
  <c r="K25" i="24"/>
  <c r="M25" i="24" s="1"/>
  <c r="K24" i="24"/>
  <c r="M24" i="24" s="1"/>
  <c r="K23" i="24"/>
  <c r="M23" i="24" s="1"/>
  <c r="K22" i="24"/>
  <c r="M22" i="24" s="1"/>
  <c r="K21" i="24"/>
  <c r="M21" i="24" s="1"/>
  <c r="K20" i="24"/>
  <c r="M20" i="24" s="1"/>
  <c r="K19" i="24"/>
  <c r="M19" i="24" s="1"/>
  <c r="K18" i="24"/>
  <c r="M18" i="24" s="1"/>
  <c r="K17" i="24"/>
  <c r="M17" i="24" s="1"/>
  <c r="K16" i="24"/>
  <c r="M16" i="24" s="1"/>
  <c r="K15" i="24"/>
  <c r="M15" i="24" s="1"/>
  <c r="K14" i="24"/>
  <c r="L12" i="24" s="1"/>
  <c r="I12" i="24"/>
  <c r="G12" i="24"/>
  <c r="E12" i="24"/>
  <c r="H12" i="24" s="1"/>
  <c r="E9" i="24"/>
  <c r="O7" i="24"/>
  <c r="H7" i="24"/>
  <c r="D7" i="24"/>
  <c r="H5" i="24"/>
  <c r="D5" i="24"/>
  <c r="H3" i="24"/>
  <c r="D3" i="24"/>
  <c r="N37" i="23"/>
  <c r="M37" i="23"/>
  <c r="O37" i="23" s="1"/>
  <c r="K37" i="23"/>
  <c r="M36" i="23"/>
  <c r="O36" i="23" s="1"/>
  <c r="K36" i="23"/>
  <c r="N35" i="23"/>
  <c r="M35" i="23"/>
  <c r="O35" i="23" s="1"/>
  <c r="K35" i="23"/>
  <c r="M34" i="23"/>
  <c r="O34" i="23" s="1"/>
  <c r="K34" i="23"/>
  <c r="N33" i="23"/>
  <c r="M33" i="23"/>
  <c r="O33" i="23" s="1"/>
  <c r="K33" i="23"/>
  <c r="M32" i="23"/>
  <c r="O32" i="23" s="1"/>
  <c r="K32" i="23"/>
  <c r="N31" i="23"/>
  <c r="M31" i="23"/>
  <c r="O31" i="23" s="1"/>
  <c r="K31" i="23"/>
  <c r="M30" i="23"/>
  <c r="O30" i="23" s="1"/>
  <c r="K30" i="23"/>
  <c r="N29" i="23"/>
  <c r="M29" i="23"/>
  <c r="O29" i="23" s="1"/>
  <c r="K29" i="23"/>
  <c r="J29" i="23"/>
  <c r="J28" i="23"/>
  <c r="K28" i="23" s="1"/>
  <c r="M28" i="23" s="1"/>
  <c r="J27" i="23"/>
  <c r="K27" i="23" s="1"/>
  <c r="M23" i="23"/>
  <c r="O23" i="23" s="1"/>
  <c r="K23" i="23"/>
  <c r="N22" i="23"/>
  <c r="M22" i="23"/>
  <c r="O22" i="23" s="1"/>
  <c r="K22" i="23"/>
  <c r="M21" i="23"/>
  <c r="O21" i="23" s="1"/>
  <c r="K21" i="23"/>
  <c r="N20" i="23"/>
  <c r="M20" i="23"/>
  <c r="O20" i="23" s="1"/>
  <c r="K20" i="23"/>
  <c r="M19" i="23"/>
  <c r="O19" i="23" s="1"/>
  <c r="K19" i="23"/>
  <c r="N18" i="23"/>
  <c r="M18" i="23"/>
  <c r="O18" i="23" s="1"/>
  <c r="K18" i="23"/>
  <c r="M17" i="23"/>
  <c r="O17" i="23" s="1"/>
  <c r="K17" i="23"/>
  <c r="N16" i="23"/>
  <c r="M16" i="23"/>
  <c r="O16" i="23" s="1"/>
  <c r="K16" i="23"/>
  <c r="M15" i="23"/>
  <c r="O15" i="23" s="1"/>
  <c r="K15" i="23"/>
  <c r="N14" i="23"/>
  <c r="M14" i="23"/>
  <c r="O14" i="23" s="1"/>
  <c r="K14" i="23"/>
  <c r="L12" i="23" s="1"/>
  <c r="M12" i="23"/>
  <c r="K12" i="23"/>
  <c r="I12" i="23"/>
  <c r="H12" i="23"/>
  <c r="G12" i="23"/>
  <c r="E12" i="23"/>
  <c r="E9" i="23"/>
  <c r="O7" i="23"/>
  <c r="H7" i="23"/>
  <c r="D7" i="23"/>
  <c r="H5" i="23"/>
  <c r="D5" i="23"/>
  <c r="H3" i="23"/>
  <c r="D3" i="23"/>
  <c r="H62" i="22"/>
  <c r="J62" i="22" s="1"/>
  <c r="H61" i="22"/>
  <c r="J61" i="22" s="1"/>
  <c r="H60" i="22"/>
  <c r="J60" i="22" s="1"/>
  <c r="H59" i="22"/>
  <c r="J59" i="22" s="1"/>
  <c r="H58" i="22"/>
  <c r="J58" i="22" s="1"/>
  <c r="H57" i="22"/>
  <c r="J57" i="22" s="1"/>
  <c r="H56" i="22"/>
  <c r="J56" i="22" s="1"/>
  <c r="H55" i="22"/>
  <c r="J55" i="22" s="1"/>
  <c r="H54" i="22"/>
  <c r="J54" i="22" s="1"/>
  <c r="H53" i="22"/>
  <c r="H52" i="22" s="1"/>
  <c r="J50" i="22"/>
  <c r="K50" i="22" s="1"/>
  <c r="L50" i="22" s="1"/>
  <c r="H50" i="22"/>
  <c r="H49" i="22"/>
  <c r="J49" i="22" s="1"/>
  <c r="K49" i="22" s="1"/>
  <c r="L49" i="22" s="1"/>
  <c r="J48" i="22"/>
  <c r="K48" i="22" s="1"/>
  <c r="L48" i="22" s="1"/>
  <c r="H48" i="22"/>
  <c r="H47" i="22"/>
  <c r="J47" i="22" s="1"/>
  <c r="K47" i="22" s="1"/>
  <c r="L47" i="22" s="1"/>
  <c r="J46" i="22"/>
  <c r="K46" i="22" s="1"/>
  <c r="L46" i="22" s="1"/>
  <c r="H46" i="22"/>
  <c r="H45" i="22"/>
  <c r="J45" i="22" s="1"/>
  <c r="K45" i="22" s="1"/>
  <c r="L45" i="22" s="1"/>
  <c r="J44" i="22"/>
  <c r="K44" i="22" s="1"/>
  <c r="L44" i="22" s="1"/>
  <c r="H44" i="22"/>
  <c r="H43" i="22"/>
  <c r="J43" i="22" s="1"/>
  <c r="K43" i="22" s="1"/>
  <c r="L43" i="22" s="1"/>
  <c r="J42" i="22"/>
  <c r="K42" i="22" s="1"/>
  <c r="L42" i="22" s="1"/>
  <c r="H42" i="22"/>
  <c r="H41" i="22"/>
  <c r="J41" i="22" s="1"/>
  <c r="K41" i="22" s="1"/>
  <c r="L41" i="22" s="1"/>
  <c r="J40" i="22"/>
  <c r="K40" i="22" s="1"/>
  <c r="L40" i="22" s="1"/>
  <c r="H40" i="22"/>
  <c r="H39" i="22"/>
  <c r="J39" i="22" s="1"/>
  <c r="K39" i="22" s="1"/>
  <c r="L39" i="22" s="1"/>
  <c r="J37" i="22"/>
  <c r="K37" i="22" s="1"/>
  <c r="L37" i="22" s="1"/>
  <c r="H37" i="22"/>
  <c r="H36" i="22"/>
  <c r="J36" i="22" s="1"/>
  <c r="K36" i="22" s="1"/>
  <c r="L36" i="22" s="1"/>
  <c r="J35" i="22"/>
  <c r="K35" i="22" s="1"/>
  <c r="L35" i="22" s="1"/>
  <c r="H35" i="22"/>
  <c r="K33" i="22"/>
  <c r="L33" i="22" s="1"/>
  <c r="J33" i="22"/>
  <c r="H33" i="22"/>
  <c r="G33" i="22"/>
  <c r="G32" i="22"/>
  <c r="H32" i="22" s="1"/>
  <c r="J32" i="22" s="1"/>
  <c r="K32" i="22" s="1"/>
  <c r="L32" i="22" s="1"/>
  <c r="L31" i="22"/>
  <c r="K31" i="22"/>
  <c r="J31" i="22"/>
  <c r="H30" i="22"/>
  <c r="J30" i="22" s="1"/>
  <c r="K30" i="22" s="1"/>
  <c r="L30" i="22" s="1"/>
  <c r="L29" i="22"/>
  <c r="K29" i="22"/>
  <c r="J29" i="22"/>
  <c r="H29" i="22"/>
  <c r="H28" i="22"/>
  <c r="J28" i="22" s="1"/>
  <c r="K28" i="22" s="1"/>
  <c r="L28" i="22" s="1"/>
  <c r="L27" i="22"/>
  <c r="K27" i="22"/>
  <c r="J27" i="22"/>
  <c r="H27" i="22"/>
  <c r="H26" i="22"/>
  <c r="J26" i="22" s="1"/>
  <c r="K26" i="22" s="1"/>
  <c r="L26" i="22" s="1"/>
  <c r="L25" i="22"/>
  <c r="K25" i="22"/>
  <c r="J25" i="22"/>
  <c r="H25" i="22"/>
  <c r="K24" i="22"/>
  <c r="L24" i="22" s="1"/>
  <c r="J23" i="22"/>
  <c r="K23" i="22" s="1"/>
  <c r="L23" i="22" s="1"/>
  <c r="H23" i="22"/>
  <c r="G23" i="22"/>
  <c r="G22" i="22"/>
  <c r="H22" i="22" s="1"/>
  <c r="J22" i="22" s="1"/>
  <c r="K22" i="22" s="1"/>
  <c r="L22" i="22" s="1"/>
  <c r="G21" i="22"/>
  <c r="H21" i="22" s="1"/>
  <c r="J21" i="22" s="1"/>
  <c r="K21" i="22" s="1"/>
  <c r="L21" i="22" s="1"/>
  <c r="H20" i="22"/>
  <c r="J20" i="22" s="1"/>
  <c r="K20" i="22" s="1"/>
  <c r="L20" i="22" s="1"/>
  <c r="G20" i="22"/>
  <c r="H19" i="22"/>
  <c r="J19" i="22" s="1"/>
  <c r="K19" i="22" s="1"/>
  <c r="L19" i="22" s="1"/>
  <c r="G19" i="22"/>
  <c r="K18" i="22"/>
  <c r="L18" i="22" s="1"/>
  <c r="J18" i="22"/>
  <c r="H18" i="22"/>
  <c r="G18" i="22"/>
  <c r="G17" i="22"/>
  <c r="H17" i="22" s="1"/>
  <c r="J17" i="22" s="1"/>
  <c r="K17" i="22" s="1"/>
  <c r="L17" i="22" s="1"/>
  <c r="G16" i="22"/>
  <c r="H16" i="22" s="1"/>
  <c r="J16" i="22" s="1"/>
  <c r="K16" i="22" s="1"/>
  <c r="L16" i="22" s="1"/>
  <c r="J15" i="22"/>
  <c r="H15" i="22"/>
  <c r="G15" i="22"/>
  <c r="D9" i="22"/>
  <c r="L7" i="22"/>
  <c r="G7" i="22"/>
  <c r="C7" i="22"/>
  <c r="G5" i="22"/>
  <c r="C5" i="22"/>
  <c r="G3" i="22"/>
  <c r="C3" i="22"/>
  <c r="H61" i="21"/>
  <c r="J61" i="21" s="1"/>
  <c r="H60" i="21"/>
  <c r="J60" i="21" s="1"/>
  <c r="H59" i="21"/>
  <c r="J59" i="21" s="1"/>
  <c r="H58" i="21"/>
  <c r="J58" i="21" s="1"/>
  <c r="H57" i="21"/>
  <c r="J57" i="21" s="1"/>
  <c r="H56" i="21"/>
  <c r="J56" i="21" s="1"/>
  <c r="H55" i="21"/>
  <c r="J55" i="21" s="1"/>
  <c r="H54" i="21"/>
  <c r="J54" i="21" s="1"/>
  <c r="H53" i="21"/>
  <c r="H51" i="21" s="1"/>
  <c r="H52" i="21"/>
  <c r="J52" i="21" s="1"/>
  <c r="H49" i="21"/>
  <c r="J49" i="21" s="1"/>
  <c r="K49" i="21" s="1"/>
  <c r="L49" i="21" s="1"/>
  <c r="J48" i="21"/>
  <c r="K48" i="21" s="1"/>
  <c r="L48" i="21" s="1"/>
  <c r="H48" i="21"/>
  <c r="H47" i="21"/>
  <c r="J47" i="21" s="1"/>
  <c r="K47" i="21" s="1"/>
  <c r="L47" i="21" s="1"/>
  <c r="J46" i="21"/>
  <c r="K46" i="21" s="1"/>
  <c r="L46" i="21" s="1"/>
  <c r="H46" i="21"/>
  <c r="H45" i="21"/>
  <c r="J45" i="21" s="1"/>
  <c r="K45" i="21" s="1"/>
  <c r="L45" i="21" s="1"/>
  <c r="S44" i="21"/>
  <c r="K44" i="21"/>
  <c r="L44" i="21" s="1"/>
  <c r="J44" i="21"/>
  <c r="H44" i="21"/>
  <c r="S43" i="21"/>
  <c r="H43" i="21"/>
  <c r="J43" i="21" s="1"/>
  <c r="K43" i="21" s="1"/>
  <c r="L43" i="21" s="1"/>
  <c r="S42" i="21"/>
  <c r="H42" i="21"/>
  <c r="J42" i="21" s="1"/>
  <c r="K42" i="21" s="1"/>
  <c r="L42" i="21" s="1"/>
  <c r="S41" i="21"/>
  <c r="J41" i="21"/>
  <c r="K41" i="21" s="1"/>
  <c r="L41" i="21" s="1"/>
  <c r="H41" i="21"/>
  <c r="S40" i="21"/>
  <c r="J40" i="21"/>
  <c r="K40" i="21" s="1"/>
  <c r="L40" i="21" s="1"/>
  <c r="H40" i="21"/>
  <c r="S39" i="21"/>
  <c r="L39" i="21"/>
  <c r="K39" i="21"/>
  <c r="J39" i="21"/>
  <c r="H39" i="21"/>
  <c r="S38" i="21"/>
  <c r="H38" i="21"/>
  <c r="J38" i="21" s="1"/>
  <c r="K38" i="21" s="1"/>
  <c r="L38" i="21" s="1"/>
  <c r="H36" i="21"/>
  <c r="J36" i="21" s="1"/>
  <c r="K36" i="21" s="1"/>
  <c r="L36" i="21" s="1"/>
  <c r="H35" i="21"/>
  <c r="J35" i="21" s="1"/>
  <c r="K35" i="21" s="1"/>
  <c r="L35" i="21" s="1"/>
  <c r="H34" i="21"/>
  <c r="J34" i="21" s="1"/>
  <c r="K34" i="21" s="1"/>
  <c r="L34" i="21" s="1"/>
  <c r="H32" i="21"/>
  <c r="J32" i="21" s="1"/>
  <c r="K32" i="21" s="1"/>
  <c r="L32" i="21" s="1"/>
  <c r="G32" i="21"/>
  <c r="K31" i="21"/>
  <c r="L31" i="21" s="1"/>
  <c r="J31" i="21"/>
  <c r="H31" i="21"/>
  <c r="G31" i="21"/>
  <c r="K30" i="21"/>
  <c r="L30" i="21" s="1"/>
  <c r="J30" i="21"/>
  <c r="K29" i="21"/>
  <c r="L29" i="21" s="1"/>
  <c r="J29" i="21"/>
  <c r="H29" i="21"/>
  <c r="J28" i="21"/>
  <c r="K28" i="21" s="1"/>
  <c r="L28" i="21" s="1"/>
  <c r="H28" i="21"/>
  <c r="K27" i="21"/>
  <c r="L27" i="21" s="1"/>
  <c r="J27" i="21"/>
  <c r="H27" i="21"/>
  <c r="J26" i="21"/>
  <c r="K26" i="21" s="1"/>
  <c r="L26" i="21" s="1"/>
  <c r="H26" i="21"/>
  <c r="K25" i="21"/>
  <c r="L25" i="21" s="1"/>
  <c r="J25" i="21"/>
  <c r="H25" i="21"/>
  <c r="J24" i="21"/>
  <c r="K24" i="21" s="1"/>
  <c r="L24" i="21" s="1"/>
  <c r="H24" i="21"/>
  <c r="K23" i="21"/>
  <c r="L23" i="21" s="1"/>
  <c r="J23" i="21"/>
  <c r="H22" i="21"/>
  <c r="J22" i="21" s="1"/>
  <c r="K22" i="21" s="1"/>
  <c r="L22" i="21" s="1"/>
  <c r="G22" i="21"/>
  <c r="K21" i="21"/>
  <c r="L21" i="21" s="1"/>
  <c r="J21" i="21"/>
  <c r="H21" i="21"/>
  <c r="G21" i="21"/>
  <c r="H20" i="21"/>
  <c r="J20" i="21" s="1"/>
  <c r="K20" i="21" s="1"/>
  <c r="L20" i="21" s="1"/>
  <c r="L19" i="21"/>
  <c r="K19" i="21"/>
  <c r="J19" i="21"/>
  <c r="H19" i="21"/>
  <c r="H18" i="21"/>
  <c r="J18" i="21" s="1"/>
  <c r="K18" i="21" s="1"/>
  <c r="L18" i="21" s="1"/>
  <c r="L17" i="21"/>
  <c r="K17" i="21"/>
  <c r="J17" i="21"/>
  <c r="H17" i="21"/>
  <c r="H16" i="21"/>
  <c r="J16" i="21" s="1"/>
  <c r="K16" i="21" s="1"/>
  <c r="L16" i="21" s="1"/>
  <c r="G15" i="21"/>
  <c r="H15" i="21" s="1"/>
  <c r="D9" i="21"/>
  <c r="L7" i="21"/>
  <c r="G7" i="21"/>
  <c r="C7" i="21"/>
  <c r="G5" i="21"/>
  <c r="C5" i="21"/>
  <c r="G3" i="21"/>
  <c r="C3" i="21"/>
  <c r="J55" i="20"/>
  <c r="I55" i="20"/>
  <c r="K55" i="20" s="1"/>
  <c r="G55" i="20"/>
  <c r="I54" i="20"/>
  <c r="K54" i="20" s="1"/>
  <c r="G54" i="20"/>
  <c r="J53" i="20"/>
  <c r="I53" i="20"/>
  <c r="K53" i="20" s="1"/>
  <c r="G53" i="20"/>
  <c r="I52" i="20"/>
  <c r="K52" i="20" s="1"/>
  <c r="G52" i="20"/>
  <c r="J51" i="20"/>
  <c r="I51" i="20"/>
  <c r="K51" i="20" s="1"/>
  <c r="G51" i="20"/>
  <c r="F51" i="20"/>
  <c r="F50" i="20"/>
  <c r="G50" i="20" s="1"/>
  <c r="I50" i="20" s="1"/>
  <c r="F49" i="20"/>
  <c r="G49" i="20" s="1"/>
  <c r="I49" i="20" s="1"/>
  <c r="I48" i="20"/>
  <c r="K48" i="20" s="1"/>
  <c r="G48" i="20"/>
  <c r="F48" i="20"/>
  <c r="F47" i="20"/>
  <c r="G47" i="20" s="1"/>
  <c r="I47" i="20" s="1"/>
  <c r="F46" i="20"/>
  <c r="G46" i="20" s="1"/>
  <c r="G45" i="20"/>
  <c r="I45" i="20" s="1"/>
  <c r="F45" i="20"/>
  <c r="G44" i="20"/>
  <c r="I44" i="20" s="1"/>
  <c r="F44" i="20"/>
  <c r="G41" i="20"/>
  <c r="I41" i="20" s="1"/>
  <c r="F40" i="20"/>
  <c r="G40" i="20" s="1"/>
  <c r="I40" i="20" s="1"/>
  <c r="G39" i="20"/>
  <c r="I39" i="20" s="1"/>
  <c r="F39" i="20"/>
  <c r="G38" i="20"/>
  <c r="I38" i="20" s="1"/>
  <c r="F38" i="20"/>
  <c r="J37" i="20"/>
  <c r="I37" i="20"/>
  <c r="K37" i="20" s="1"/>
  <c r="G37" i="20"/>
  <c r="F36" i="20"/>
  <c r="G36" i="20" s="1"/>
  <c r="I36" i="20" s="1"/>
  <c r="F35" i="20"/>
  <c r="G35" i="20" s="1"/>
  <c r="I35" i="20" s="1"/>
  <c r="G34" i="20"/>
  <c r="I34" i="20" s="1"/>
  <c r="G33" i="20"/>
  <c r="I33" i="20" s="1"/>
  <c r="G32" i="20"/>
  <c r="I32" i="20" s="1"/>
  <c r="F31" i="20"/>
  <c r="G31" i="20" s="1"/>
  <c r="I31" i="20" s="1"/>
  <c r="I30" i="20"/>
  <c r="K30" i="20" s="1"/>
  <c r="G30" i="20"/>
  <c r="F30" i="20"/>
  <c r="F29" i="20"/>
  <c r="G29" i="20" s="1"/>
  <c r="I29" i="20" s="1"/>
  <c r="F28" i="20"/>
  <c r="G28" i="20" s="1"/>
  <c r="I28" i="20" s="1"/>
  <c r="G27" i="20"/>
  <c r="I27" i="20" s="1"/>
  <c r="F27" i="20"/>
  <c r="G26" i="20"/>
  <c r="I26" i="20" s="1"/>
  <c r="F26" i="20"/>
  <c r="J25" i="20"/>
  <c r="I25" i="20"/>
  <c r="K25" i="20" s="1"/>
  <c r="G25" i="20"/>
  <c r="F25" i="20"/>
  <c r="F24" i="20"/>
  <c r="G24" i="20" s="1"/>
  <c r="I24" i="20" s="1"/>
  <c r="F23" i="20"/>
  <c r="G23" i="20" s="1"/>
  <c r="I23" i="20" s="1"/>
  <c r="I22" i="20"/>
  <c r="K22" i="20" s="1"/>
  <c r="G22" i="20"/>
  <c r="F22" i="20"/>
  <c r="F21" i="20"/>
  <c r="G21" i="20" s="1"/>
  <c r="I21" i="20" s="1"/>
  <c r="F20" i="20"/>
  <c r="G20" i="20" s="1"/>
  <c r="I20" i="20" s="1"/>
  <c r="G19" i="20"/>
  <c r="I19" i="20" s="1"/>
  <c r="F19" i="20"/>
  <c r="G18" i="20"/>
  <c r="I18" i="20" s="1"/>
  <c r="I17" i="20"/>
  <c r="J17" i="20" s="1"/>
  <c r="F16" i="20"/>
  <c r="G16" i="20" s="1"/>
  <c r="G15" i="20"/>
  <c r="I15" i="20" s="1"/>
  <c r="F15" i="20"/>
  <c r="G14" i="20"/>
  <c r="F14" i="20"/>
  <c r="D10" i="20"/>
  <c r="K7" i="20"/>
  <c r="F7" i="20"/>
  <c r="C7" i="20"/>
  <c r="F5" i="20"/>
  <c r="C5" i="20"/>
  <c r="F3" i="20"/>
  <c r="C3" i="20"/>
  <c r="I66" i="19"/>
  <c r="K66" i="19" s="1"/>
  <c r="G66" i="19"/>
  <c r="G65" i="19"/>
  <c r="I65" i="19" s="1"/>
  <c r="I64" i="19"/>
  <c r="K64" i="19" s="1"/>
  <c r="G64" i="19"/>
  <c r="G63" i="19"/>
  <c r="I63" i="19" s="1"/>
  <c r="I62" i="19"/>
  <c r="K62" i="19" s="1"/>
  <c r="G62" i="19"/>
  <c r="G61" i="19"/>
  <c r="I61" i="19" s="1"/>
  <c r="I60" i="19"/>
  <c r="K60" i="19" s="1"/>
  <c r="G60" i="19"/>
  <c r="G59" i="19"/>
  <c r="I59" i="19" s="1"/>
  <c r="I58" i="19"/>
  <c r="K58" i="19" s="1"/>
  <c r="G58" i="19"/>
  <c r="F58" i="19"/>
  <c r="F57" i="19"/>
  <c r="G57" i="19" s="1"/>
  <c r="I54" i="19"/>
  <c r="K54" i="19" s="1"/>
  <c r="G54" i="19"/>
  <c r="I53" i="19"/>
  <c r="K53" i="19" s="1"/>
  <c r="G53" i="19"/>
  <c r="G52" i="19"/>
  <c r="I52" i="19" s="1"/>
  <c r="G51" i="19"/>
  <c r="I51" i="19" s="1"/>
  <c r="G50" i="19"/>
  <c r="I50" i="19" s="1"/>
  <c r="J49" i="19"/>
  <c r="P49" i="19" s="1"/>
  <c r="I49" i="19"/>
  <c r="K49" i="19" s="1"/>
  <c r="G49" i="19"/>
  <c r="G48" i="19"/>
  <c r="I48" i="19" s="1"/>
  <c r="G47" i="19"/>
  <c r="I47" i="19" s="1"/>
  <c r="I46" i="19"/>
  <c r="K46" i="19" s="1"/>
  <c r="G46" i="19"/>
  <c r="I45" i="19"/>
  <c r="K45" i="19" s="1"/>
  <c r="G45" i="19"/>
  <c r="G44" i="19"/>
  <c r="I44" i="19" s="1"/>
  <c r="G43" i="19"/>
  <c r="I43" i="19" s="1"/>
  <c r="G42" i="19"/>
  <c r="I42" i="19" s="1"/>
  <c r="J41" i="19"/>
  <c r="P41" i="19" s="1"/>
  <c r="I41" i="19"/>
  <c r="K41" i="19" s="1"/>
  <c r="G41" i="19"/>
  <c r="G40" i="19"/>
  <c r="I40" i="19" s="1"/>
  <c r="G39" i="19"/>
  <c r="I39" i="19" s="1"/>
  <c r="I38" i="19"/>
  <c r="K38" i="19" s="1"/>
  <c r="G38" i="19"/>
  <c r="I37" i="19"/>
  <c r="K37" i="19" s="1"/>
  <c r="G37" i="19"/>
  <c r="F36" i="19"/>
  <c r="G36" i="19" s="1"/>
  <c r="I36" i="19" s="1"/>
  <c r="I35" i="19"/>
  <c r="K35" i="19" s="1"/>
  <c r="G35" i="19"/>
  <c r="I34" i="19"/>
  <c r="K34" i="19" s="1"/>
  <c r="G34" i="19"/>
  <c r="G33" i="19"/>
  <c r="I33" i="19" s="1"/>
  <c r="G32" i="19"/>
  <c r="I32" i="19" s="1"/>
  <c r="G31" i="19"/>
  <c r="I31" i="19" s="1"/>
  <c r="J30" i="19"/>
  <c r="N30" i="19" s="1"/>
  <c r="I30" i="19"/>
  <c r="K30" i="19" s="1"/>
  <c r="G30" i="19"/>
  <c r="G29" i="19"/>
  <c r="I29" i="19" s="1"/>
  <c r="F28" i="19"/>
  <c r="G28" i="19" s="1"/>
  <c r="I28" i="19" s="1"/>
  <c r="F27" i="19"/>
  <c r="G27" i="19" s="1"/>
  <c r="I27" i="19" s="1"/>
  <c r="G26" i="19"/>
  <c r="I26" i="19" s="1"/>
  <c r="F26" i="19"/>
  <c r="F25" i="19"/>
  <c r="G25" i="19" s="1"/>
  <c r="I25" i="19" s="1"/>
  <c r="G24" i="19"/>
  <c r="I24" i="19" s="1"/>
  <c r="I23" i="19"/>
  <c r="K23" i="19" s="1"/>
  <c r="G23" i="19"/>
  <c r="I22" i="19"/>
  <c r="K22" i="19" s="1"/>
  <c r="G22" i="19"/>
  <c r="G21" i="19"/>
  <c r="I21" i="19" s="1"/>
  <c r="G20" i="19"/>
  <c r="I20" i="19" s="1"/>
  <c r="G19" i="19"/>
  <c r="I19" i="19" s="1"/>
  <c r="F19" i="19"/>
  <c r="F18" i="19"/>
  <c r="G18" i="19" s="1"/>
  <c r="I18" i="19" s="1"/>
  <c r="I17" i="19"/>
  <c r="K17" i="19" s="1"/>
  <c r="G17" i="19"/>
  <c r="I16" i="19"/>
  <c r="K16" i="19" s="1"/>
  <c r="G16" i="19"/>
  <c r="F15" i="19"/>
  <c r="G15" i="19" s="1"/>
  <c r="I15" i="19" s="1"/>
  <c r="I14" i="19"/>
  <c r="K14" i="19" s="1"/>
  <c r="G14" i="19"/>
  <c r="F14" i="19"/>
  <c r="F13" i="19"/>
  <c r="G13" i="19" s="1"/>
  <c r="D9" i="19"/>
  <c r="K7" i="19"/>
  <c r="F7" i="19"/>
  <c r="C7" i="19"/>
  <c r="F5" i="19"/>
  <c r="C5" i="19"/>
  <c r="F3" i="19"/>
  <c r="C3" i="19"/>
  <c r="J66" i="18"/>
  <c r="I66" i="18"/>
  <c r="K66" i="18" s="1"/>
  <c r="G66" i="18"/>
  <c r="I65" i="18"/>
  <c r="K65" i="18" s="1"/>
  <c r="G65" i="18"/>
  <c r="J64" i="18"/>
  <c r="I64" i="18"/>
  <c r="K64" i="18" s="1"/>
  <c r="G64" i="18"/>
  <c r="I63" i="18"/>
  <c r="K63" i="18" s="1"/>
  <c r="G63" i="18"/>
  <c r="J62" i="18"/>
  <c r="I62" i="18"/>
  <c r="K62" i="18" s="1"/>
  <c r="G62" i="18"/>
  <c r="I61" i="18"/>
  <c r="K61" i="18" s="1"/>
  <c r="G61" i="18"/>
  <c r="J60" i="18"/>
  <c r="I60" i="18"/>
  <c r="K60" i="18" s="1"/>
  <c r="G60" i="18"/>
  <c r="F59" i="18"/>
  <c r="G59" i="18" s="1"/>
  <c r="I59" i="18" s="1"/>
  <c r="F58" i="18"/>
  <c r="G58" i="18" s="1"/>
  <c r="I58" i="18" s="1"/>
  <c r="G57" i="18"/>
  <c r="F57" i="18"/>
  <c r="J54" i="18"/>
  <c r="I54" i="18"/>
  <c r="K54" i="18" s="1"/>
  <c r="G54" i="18"/>
  <c r="I53" i="18"/>
  <c r="K53" i="18" s="1"/>
  <c r="G53" i="18"/>
  <c r="J52" i="18"/>
  <c r="I52" i="18"/>
  <c r="K52" i="18" s="1"/>
  <c r="G52" i="18"/>
  <c r="I51" i="18"/>
  <c r="K51" i="18" s="1"/>
  <c r="G51" i="18"/>
  <c r="J50" i="18"/>
  <c r="I50" i="18"/>
  <c r="K50" i="18" s="1"/>
  <c r="G50" i="18"/>
  <c r="I49" i="18"/>
  <c r="K49" i="18" s="1"/>
  <c r="G49" i="18"/>
  <c r="J48" i="18"/>
  <c r="I48" i="18"/>
  <c r="K48" i="18" s="1"/>
  <c r="G48" i="18"/>
  <c r="I47" i="18"/>
  <c r="K47" i="18" s="1"/>
  <c r="G47" i="18"/>
  <c r="J46" i="18"/>
  <c r="I46" i="18"/>
  <c r="K46" i="18" s="1"/>
  <c r="G46" i="18"/>
  <c r="I45" i="18"/>
  <c r="K45" i="18" s="1"/>
  <c r="G45" i="18"/>
  <c r="J44" i="18"/>
  <c r="I44" i="18"/>
  <c r="K44" i="18" s="1"/>
  <c r="G44" i="18"/>
  <c r="I43" i="18"/>
  <c r="K43" i="18" s="1"/>
  <c r="G43" i="18"/>
  <c r="J42" i="18"/>
  <c r="I42" i="18"/>
  <c r="K42" i="18" s="1"/>
  <c r="G42" i="18"/>
  <c r="I41" i="18"/>
  <c r="K41" i="18" s="1"/>
  <c r="G41" i="18"/>
  <c r="J40" i="18"/>
  <c r="I40" i="18"/>
  <c r="K40" i="18" s="1"/>
  <c r="G40" i="18"/>
  <c r="I39" i="18"/>
  <c r="K39" i="18" s="1"/>
  <c r="G39" i="18"/>
  <c r="J38" i="18"/>
  <c r="I38" i="18"/>
  <c r="K38" i="18" s="1"/>
  <c r="G38" i="18"/>
  <c r="I37" i="18"/>
  <c r="K37" i="18" s="1"/>
  <c r="G37" i="18"/>
  <c r="F36" i="18"/>
  <c r="G36" i="18" s="1"/>
  <c r="I36" i="18" s="1"/>
  <c r="G35" i="18"/>
  <c r="I35" i="18" s="1"/>
  <c r="G34" i="18"/>
  <c r="I34" i="18" s="1"/>
  <c r="G33" i="18"/>
  <c r="I33" i="18" s="1"/>
  <c r="G32" i="18"/>
  <c r="I32" i="18" s="1"/>
  <c r="G31" i="18"/>
  <c r="I31" i="18" s="1"/>
  <c r="G30" i="18"/>
  <c r="I30" i="18" s="1"/>
  <c r="G29" i="18"/>
  <c r="I29" i="18" s="1"/>
  <c r="G28" i="18"/>
  <c r="I28" i="18" s="1"/>
  <c r="G27" i="18"/>
  <c r="I27" i="18" s="1"/>
  <c r="G26" i="18"/>
  <c r="I26" i="18" s="1"/>
  <c r="G25" i="18"/>
  <c r="I25" i="18" s="1"/>
  <c r="G24" i="18"/>
  <c r="I24" i="18" s="1"/>
  <c r="G23" i="18"/>
  <c r="I23" i="18" s="1"/>
  <c r="G22" i="18"/>
  <c r="I22" i="18" s="1"/>
  <c r="G21" i="18"/>
  <c r="I21" i="18" s="1"/>
  <c r="G20" i="18"/>
  <c r="I20" i="18" s="1"/>
  <c r="G19" i="18"/>
  <c r="I19" i="18" s="1"/>
  <c r="F18" i="18"/>
  <c r="G18" i="18" s="1"/>
  <c r="I18" i="18" s="1"/>
  <c r="G17" i="18"/>
  <c r="I17" i="18" s="1"/>
  <c r="G16" i="18"/>
  <c r="I16" i="18" s="1"/>
  <c r="G15" i="18"/>
  <c r="I15" i="18" s="1"/>
  <c r="G14" i="18"/>
  <c r="I14" i="18" s="1"/>
  <c r="G13" i="18"/>
  <c r="D9" i="18"/>
  <c r="K7" i="18"/>
  <c r="F7" i="18"/>
  <c r="C7" i="18"/>
  <c r="F5" i="18"/>
  <c r="C5" i="18"/>
  <c r="F3" i="18"/>
  <c r="C3" i="18"/>
  <c r="R91" i="17"/>
  <c r="R90" i="17"/>
  <c r="R89" i="17"/>
  <c r="R88" i="17"/>
  <c r="R87" i="17"/>
  <c r="R86" i="17"/>
  <c r="R85" i="17"/>
  <c r="R84" i="17"/>
  <c r="R83" i="17"/>
  <c r="R82" i="17"/>
  <c r="R81" i="17"/>
  <c r="R80" i="17"/>
  <c r="R79" i="17"/>
  <c r="R78" i="17"/>
  <c r="R77" i="17"/>
  <c r="R76" i="17"/>
  <c r="R92" i="17" s="1"/>
  <c r="R68" i="17"/>
  <c r="R67" i="17"/>
  <c r="R66" i="17"/>
  <c r="R65" i="17"/>
  <c r="R64" i="17"/>
  <c r="R63" i="17"/>
  <c r="R62" i="17"/>
  <c r="R61" i="17"/>
  <c r="R60" i="17"/>
  <c r="R59" i="17"/>
  <c r="R58" i="17"/>
  <c r="R57" i="17"/>
  <c r="R56" i="17"/>
  <c r="R55" i="17"/>
  <c r="R54" i="17"/>
  <c r="R53" i="17"/>
  <c r="R69" i="17" s="1"/>
  <c r="R45" i="17"/>
  <c r="R44" i="17"/>
  <c r="R43" i="17"/>
  <c r="R42" i="17"/>
  <c r="R41" i="17"/>
  <c r="R40" i="17"/>
  <c r="R39" i="17"/>
  <c r="R38" i="17"/>
  <c r="R37" i="17"/>
  <c r="R36" i="17"/>
  <c r="R35" i="17"/>
  <c r="R34" i="17"/>
  <c r="R33" i="17"/>
  <c r="R32" i="17"/>
  <c r="R31" i="17"/>
  <c r="R30" i="17"/>
  <c r="R46" i="17" s="1"/>
  <c r="R22" i="17"/>
  <c r="R21" i="17"/>
  <c r="R20" i="17"/>
  <c r="R19" i="17"/>
  <c r="R18" i="17"/>
  <c r="R17" i="17"/>
  <c r="R16" i="17"/>
  <c r="R15" i="17"/>
  <c r="R14" i="17"/>
  <c r="R13" i="17"/>
  <c r="R12" i="17"/>
  <c r="R11" i="17"/>
  <c r="R10" i="17"/>
  <c r="R9" i="17"/>
  <c r="R8" i="17"/>
  <c r="R7" i="17"/>
  <c r="R23" i="17" s="1"/>
  <c r="N2" i="17"/>
  <c r="H2" i="17"/>
  <c r="R91" i="16"/>
  <c r="R90" i="16"/>
  <c r="R89" i="16"/>
  <c r="R88" i="16"/>
  <c r="R87" i="16"/>
  <c r="R86" i="16"/>
  <c r="R85" i="16"/>
  <c r="R84" i="16"/>
  <c r="R83" i="16"/>
  <c r="R82" i="16"/>
  <c r="R81" i="16"/>
  <c r="R80" i="16"/>
  <c r="R79" i="16"/>
  <c r="R78" i="16"/>
  <c r="R77" i="16"/>
  <c r="R76" i="16"/>
  <c r="R92" i="16" s="1"/>
  <c r="R68" i="16"/>
  <c r="R67" i="16"/>
  <c r="R66" i="16"/>
  <c r="R65" i="16"/>
  <c r="R64" i="16"/>
  <c r="R63" i="16"/>
  <c r="R62" i="16"/>
  <c r="R61" i="16"/>
  <c r="R60" i="16"/>
  <c r="R59" i="16"/>
  <c r="R58" i="16"/>
  <c r="R57" i="16"/>
  <c r="R56" i="16"/>
  <c r="R55" i="16"/>
  <c r="R54" i="16"/>
  <c r="R53" i="16"/>
  <c r="R69" i="16" s="1"/>
  <c r="R45" i="16"/>
  <c r="R44" i="16"/>
  <c r="R43" i="16"/>
  <c r="R42" i="16"/>
  <c r="R41" i="16"/>
  <c r="R40" i="16"/>
  <c r="R39" i="16"/>
  <c r="R38" i="16"/>
  <c r="R37" i="16"/>
  <c r="R36" i="16"/>
  <c r="R35" i="16"/>
  <c r="R34" i="16"/>
  <c r="R33" i="16"/>
  <c r="R32" i="16"/>
  <c r="R31" i="16"/>
  <c r="R30" i="16"/>
  <c r="R46" i="16" s="1"/>
  <c r="R22" i="16"/>
  <c r="R21" i="16"/>
  <c r="R20" i="16"/>
  <c r="R19" i="16"/>
  <c r="R18" i="16"/>
  <c r="R17" i="16"/>
  <c r="R16" i="16"/>
  <c r="R15" i="16"/>
  <c r="R14" i="16"/>
  <c r="R13" i="16"/>
  <c r="R12" i="16"/>
  <c r="R11" i="16"/>
  <c r="R10" i="16"/>
  <c r="R9" i="16"/>
  <c r="R8" i="16"/>
  <c r="R7" i="16"/>
  <c r="R23" i="16" s="1"/>
  <c r="N2" i="16"/>
  <c r="H2" i="16"/>
  <c r="R45" i="15"/>
  <c r="R44" i="15"/>
  <c r="R43" i="15"/>
  <c r="R42" i="15"/>
  <c r="R41" i="15"/>
  <c r="R40" i="15"/>
  <c r="R39" i="15"/>
  <c r="R38" i="15"/>
  <c r="R37" i="15"/>
  <c r="R36" i="15"/>
  <c r="R35" i="15"/>
  <c r="R34" i="15"/>
  <c r="R33" i="15"/>
  <c r="R32" i="15"/>
  <c r="R31" i="15"/>
  <c r="R30" i="15"/>
  <c r="R46" i="15" s="1"/>
  <c r="R22" i="15"/>
  <c r="R21" i="15"/>
  <c r="R20" i="15"/>
  <c r="R19" i="15"/>
  <c r="R18" i="15"/>
  <c r="R17" i="15"/>
  <c r="R16" i="15"/>
  <c r="R15" i="15"/>
  <c r="R14" i="15"/>
  <c r="R13" i="15"/>
  <c r="R12" i="15"/>
  <c r="R11" i="15"/>
  <c r="R10" i="15"/>
  <c r="R9" i="15"/>
  <c r="R8" i="15"/>
  <c r="R7" i="15"/>
  <c r="R23" i="15" s="1"/>
  <c r="N2" i="15"/>
  <c r="H2" i="15"/>
  <c r="K46" i="14"/>
  <c r="M46" i="14" s="1"/>
  <c r="K45" i="14"/>
  <c r="M45" i="14" s="1"/>
  <c r="K44" i="14"/>
  <c r="M44" i="14" s="1"/>
  <c r="K43" i="14"/>
  <c r="M43" i="14" s="1"/>
  <c r="K42" i="14"/>
  <c r="M42" i="14" s="1"/>
  <c r="K41" i="14"/>
  <c r="M41" i="14" s="1"/>
  <c r="K40" i="14"/>
  <c r="M40" i="14" s="1"/>
  <c r="K39" i="14"/>
  <c r="M39" i="14" s="1"/>
  <c r="K38" i="14"/>
  <c r="M38" i="14" s="1"/>
  <c r="J38" i="14"/>
  <c r="K37" i="14"/>
  <c r="M37" i="14" s="1"/>
  <c r="J37" i="14"/>
  <c r="J36" i="14"/>
  <c r="K36" i="14" s="1"/>
  <c r="K32" i="14"/>
  <c r="M32" i="14" s="1"/>
  <c r="K31" i="14"/>
  <c r="M31" i="14" s="1"/>
  <c r="J30" i="14"/>
  <c r="K30" i="14" s="1"/>
  <c r="M30" i="14" s="1"/>
  <c r="M29" i="14"/>
  <c r="O29" i="14" s="1"/>
  <c r="K29" i="14"/>
  <c r="K28" i="14"/>
  <c r="K12" i="14" s="1"/>
  <c r="J28" i="14"/>
  <c r="N27" i="14"/>
  <c r="M27" i="14"/>
  <c r="O27" i="14" s="1"/>
  <c r="K27" i="14"/>
  <c r="M26" i="14"/>
  <c r="O26" i="14" s="1"/>
  <c r="K26" i="14"/>
  <c r="N25" i="14"/>
  <c r="M25" i="14"/>
  <c r="O25" i="14" s="1"/>
  <c r="K25" i="14"/>
  <c r="M24" i="14"/>
  <c r="O24" i="14" s="1"/>
  <c r="K24" i="14"/>
  <c r="N23" i="14"/>
  <c r="M23" i="14"/>
  <c r="O23" i="14" s="1"/>
  <c r="K23" i="14"/>
  <c r="M22" i="14"/>
  <c r="O22" i="14" s="1"/>
  <c r="K22" i="14"/>
  <c r="N21" i="14"/>
  <c r="M21" i="14"/>
  <c r="O21" i="14" s="1"/>
  <c r="K21" i="14"/>
  <c r="M20" i="14"/>
  <c r="O20" i="14" s="1"/>
  <c r="K20" i="14"/>
  <c r="N19" i="14"/>
  <c r="M19" i="14"/>
  <c r="O19" i="14" s="1"/>
  <c r="K19" i="14"/>
  <c r="M18" i="14"/>
  <c r="O18" i="14" s="1"/>
  <c r="K18" i="14"/>
  <c r="N17" i="14"/>
  <c r="M17" i="14"/>
  <c r="O17" i="14" s="1"/>
  <c r="K17" i="14"/>
  <c r="M16" i="14"/>
  <c r="O16" i="14" s="1"/>
  <c r="K16" i="14"/>
  <c r="N15" i="14"/>
  <c r="M15" i="14"/>
  <c r="O15" i="14" s="1"/>
  <c r="K15" i="14"/>
  <c r="M14" i="14"/>
  <c r="K14" i="14"/>
  <c r="L12" i="14" s="1"/>
  <c r="I12" i="14"/>
  <c r="G12" i="14" s="1"/>
  <c r="H12" i="14" s="1"/>
  <c r="E12" i="14"/>
  <c r="E9" i="14"/>
  <c r="O7" i="14"/>
  <c r="H7" i="14"/>
  <c r="D7" i="14"/>
  <c r="H5" i="14"/>
  <c r="D5" i="14"/>
  <c r="H3" i="14"/>
  <c r="D3" i="14"/>
  <c r="K37" i="13"/>
  <c r="M37" i="13" s="1"/>
  <c r="K36" i="13"/>
  <c r="M36" i="13" s="1"/>
  <c r="K35" i="13"/>
  <c r="M35" i="13" s="1"/>
  <c r="K34" i="13"/>
  <c r="M34" i="13" s="1"/>
  <c r="K33" i="13"/>
  <c r="M33" i="13" s="1"/>
  <c r="K32" i="13"/>
  <c r="M32" i="13" s="1"/>
  <c r="K31" i="13"/>
  <c r="M31" i="13" s="1"/>
  <c r="K30" i="13"/>
  <c r="M30" i="13" s="1"/>
  <c r="K29" i="13"/>
  <c r="M29" i="13" s="1"/>
  <c r="J29" i="13"/>
  <c r="K28" i="13"/>
  <c r="M28" i="13" s="1"/>
  <c r="J28" i="13"/>
  <c r="J27" i="13"/>
  <c r="K27" i="13" s="1"/>
  <c r="K23" i="13"/>
  <c r="M23" i="13" s="1"/>
  <c r="K22" i="13"/>
  <c r="M22" i="13" s="1"/>
  <c r="K21" i="13"/>
  <c r="M21" i="13" s="1"/>
  <c r="K20" i="13"/>
  <c r="M20" i="13" s="1"/>
  <c r="K19" i="13"/>
  <c r="M19" i="13" s="1"/>
  <c r="K18" i="13"/>
  <c r="M18" i="13" s="1"/>
  <c r="K17" i="13"/>
  <c r="M17" i="13" s="1"/>
  <c r="K16" i="13"/>
  <c r="M16" i="13" s="1"/>
  <c r="K15" i="13"/>
  <c r="M15" i="13" s="1"/>
  <c r="K14" i="13"/>
  <c r="L12" i="13" s="1"/>
  <c r="I12" i="13"/>
  <c r="G12" i="13"/>
  <c r="E12" i="13"/>
  <c r="H12" i="13" s="1"/>
  <c r="E9" i="13"/>
  <c r="O7" i="13"/>
  <c r="H7" i="13"/>
  <c r="D7" i="13"/>
  <c r="H5" i="13"/>
  <c r="D5" i="13"/>
  <c r="H3" i="13"/>
  <c r="D3" i="13"/>
  <c r="K62" i="12"/>
  <c r="J62" i="12"/>
  <c r="L62" i="12" s="1"/>
  <c r="H62" i="12"/>
  <c r="J61" i="12"/>
  <c r="L61" i="12" s="1"/>
  <c r="H61" i="12"/>
  <c r="K60" i="12"/>
  <c r="J60" i="12"/>
  <c r="L60" i="12" s="1"/>
  <c r="H60" i="12"/>
  <c r="J59" i="12"/>
  <c r="L59" i="12" s="1"/>
  <c r="H59" i="12"/>
  <c r="K58" i="12"/>
  <c r="J58" i="12"/>
  <c r="L58" i="12" s="1"/>
  <c r="H58" i="12"/>
  <c r="J57" i="12"/>
  <c r="L57" i="12" s="1"/>
  <c r="H57" i="12"/>
  <c r="K56" i="12"/>
  <c r="J56" i="12"/>
  <c r="L56" i="12" s="1"/>
  <c r="H56" i="12"/>
  <c r="J55" i="12"/>
  <c r="L55" i="12" s="1"/>
  <c r="H55" i="12"/>
  <c r="K54" i="12"/>
  <c r="J54" i="12"/>
  <c r="L54" i="12" s="1"/>
  <c r="H54" i="12"/>
  <c r="J53" i="12"/>
  <c r="J52" i="12" s="1"/>
  <c r="H53" i="12"/>
  <c r="H52" i="12"/>
  <c r="H50" i="12"/>
  <c r="J50" i="12" s="1"/>
  <c r="K50" i="12" s="1"/>
  <c r="L50" i="12" s="1"/>
  <c r="H49" i="12"/>
  <c r="J49" i="12" s="1"/>
  <c r="K49" i="12" s="1"/>
  <c r="L49" i="12" s="1"/>
  <c r="H48" i="12"/>
  <c r="J48" i="12" s="1"/>
  <c r="K48" i="12" s="1"/>
  <c r="L48" i="12" s="1"/>
  <c r="H47" i="12"/>
  <c r="J47" i="12" s="1"/>
  <c r="K47" i="12" s="1"/>
  <c r="L47" i="12" s="1"/>
  <c r="H46" i="12"/>
  <c r="J46" i="12" s="1"/>
  <c r="K46" i="12" s="1"/>
  <c r="L46" i="12" s="1"/>
  <c r="H45" i="12"/>
  <c r="J45" i="12" s="1"/>
  <c r="K45" i="12" s="1"/>
  <c r="L45" i="12" s="1"/>
  <c r="H44" i="12"/>
  <c r="J44" i="12" s="1"/>
  <c r="K44" i="12" s="1"/>
  <c r="L44" i="12" s="1"/>
  <c r="H43" i="12"/>
  <c r="J43" i="12" s="1"/>
  <c r="K43" i="12" s="1"/>
  <c r="L43" i="12" s="1"/>
  <c r="H42" i="12"/>
  <c r="J42" i="12" s="1"/>
  <c r="K42" i="12" s="1"/>
  <c r="L42" i="12" s="1"/>
  <c r="H41" i="12"/>
  <c r="J41" i="12" s="1"/>
  <c r="K41" i="12" s="1"/>
  <c r="L41" i="12" s="1"/>
  <c r="H40" i="12"/>
  <c r="J40" i="12" s="1"/>
  <c r="K40" i="12" s="1"/>
  <c r="L40" i="12" s="1"/>
  <c r="H39" i="12"/>
  <c r="J39" i="12" s="1"/>
  <c r="K39" i="12" s="1"/>
  <c r="L39" i="12" s="1"/>
  <c r="H37" i="12"/>
  <c r="J37" i="12" s="1"/>
  <c r="K37" i="12" s="1"/>
  <c r="L37" i="12" s="1"/>
  <c r="H36" i="12"/>
  <c r="J36" i="12" s="1"/>
  <c r="K36" i="12" s="1"/>
  <c r="L36" i="12" s="1"/>
  <c r="H35" i="12"/>
  <c r="J35" i="12" s="1"/>
  <c r="K35" i="12" s="1"/>
  <c r="L35" i="12" s="1"/>
  <c r="H33" i="12"/>
  <c r="J33" i="12" s="1"/>
  <c r="K33" i="12" s="1"/>
  <c r="L33" i="12" s="1"/>
  <c r="G33" i="12"/>
  <c r="H32" i="12"/>
  <c r="J32" i="12" s="1"/>
  <c r="K32" i="12" s="1"/>
  <c r="L32" i="12" s="1"/>
  <c r="G32" i="12"/>
  <c r="K31" i="12"/>
  <c r="L31" i="12" s="1"/>
  <c r="J31" i="12"/>
  <c r="H30" i="12"/>
  <c r="J30" i="12" s="1"/>
  <c r="K30" i="12" s="1"/>
  <c r="L30" i="12" s="1"/>
  <c r="J29" i="12"/>
  <c r="K29" i="12" s="1"/>
  <c r="L29" i="12" s="1"/>
  <c r="H29" i="12"/>
  <c r="H28" i="12"/>
  <c r="J28" i="12" s="1"/>
  <c r="K28" i="12" s="1"/>
  <c r="L28" i="12" s="1"/>
  <c r="J27" i="12"/>
  <c r="K27" i="12" s="1"/>
  <c r="L27" i="12" s="1"/>
  <c r="H27" i="12"/>
  <c r="H26" i="12"/>
  <c r="J26" i="12" s="1"/>
  <c r="K26" i="12" s="1"/>
  <c r="L26" i="12" s="1"/>
  <c r="J25" i="12"/>
  <c r="K25" i="12" s="1"/>
  <c r="L25" i="12" s="1"/>
  <c r="H25" i="12"/>
  <c r="K24" i="12"/>
  <c r="L24" i="12" s="1"/>
  <c r="G23" i="12"/>
  <c r="H23" i="12" s="1"/>
  <c r="J23" i="12" s="1"/>
  <c r="K23" i="12" s="1"/>
  <c r="L23" i="12" s="1"/>
  <c r="G22" i="12"/>
  <c r="H22" i="12" s="1"/>
  <c r="J22" i="12" s="1"/>
  <c r="K22" i="12" s="1"/>
  <c r="L22" i="12" s="1"/>
  <c r="J21" i="12"/>
  <c r="K21" i="12" s="1"/>
  <c r="L21" i="12" s="1"/>
  <c r="H21" i="12"/>
  <c r="G21" i="12"/>
  <c r="G20" i="12"/>
  <c r="H20" i="12" s="1"/>
  <c r="J20" i="12" s="1"/>
  <c r="K20" i="12" s="1"/>
  <c r="L20" i="12" s="1"/>
  <c r="G19" i="12"/>
  <c r="H19" i="12" s="1"/>
  <c r="J19" i="12" s="1"/>
  <c r="K19" i="12" s="1"/>
  <c r="L19" i="12" s="1"/>
  <c r="H18" i="12"/>
  <c r="J18" i="12" s="1"/>
  <c r="K18" i="12" s="1"/>
  <c r="L18" i="12" s="1"/>
  <c r="G18" i="12"/>
  <c r="H17" i="12"/>
  <c r="J17" i="12" s="1"/>
  <c r="K17" i="12" s="1"/>
  <c r="L17" i="12" s="1"/>
  <c r="G17" i="12"/>
  <c r="G16" i="12"/>
  <c r="H16" i="12" s="1"/>
  <c r="J16" i="12" s="1"/>
  <c r="K16" i="12" s="1"/>
  <c r="L16" i="12" s="1"/>
  <c r="G15" i="12"/>
  <c r="H15" i="12" s="1"/>
  <c r="D9" i="12"/>
  <c r="L7" i="12"/>
  <c r="G7" i="12"/>
  <c r="C7" i="12"/>
  <c r="G5" i="12"/>
  <c r="C5" i="12"/>
  <c r="G3" i="12"/>
  <c r="C3" i="12"/>
  <c r="J61" i="11"/>
  <c r="L61" i="11" s="1"/>
  <c r="H61" i="11"/>
  <c r="K60" i="11"/>
  <c r="J60" i="11"/>
  <c r="L60" i="11" s="1"/>
  <c r="H60" i="11"/>
  <c r="J59" i="11"/>
  <c r="L59" i="11" s="1"/>
  <c r="H59" i="11"/>
  <c r="K58" i="11"/>
  <c r="J58" i="11"/>
  <c r="L58" i="11" s="1"/>
  <c r="H58" i="11"/>
  <c r="J57" i="11"/>
  <c r="L57" i="11" s="1"/>
  <c r="H57" i="11"/>
  <c r="K56" i="11"/>
  <c r="J56" i="11"/>
  <c r="L56" i="11" s="1"/>
  <c r="H56" i="11"/>
  <c r="J55" i="11"/>
  <c r="L55" i="11" s="1"/>
  <c r="H55" i="11"/>
  <c r="K54" i="11"/>
  <c r="J54" i="11"/>
  <c r="L54" i="11" s="1"/>
  <c r="H54" i="11"/>
  <c r="J53" i="11"/>
  <c r="L53" i="11" s="1"/>
  <c r="H53" i="11"/>
  <c r="K52" i="11"/>
  <c r="J52" i="11"/>
  <c r="L52" i="11" s="1"/>
  <c r="H52" i="11"/>
  <c r="J51" i="11"/>
  <c r="H51" i="11"/>
  <c r="H49" i="11"/>
  <c r="J49" i="11" s="1"/>
  <c r="K49" i="11" s="1"/>
  <c r="L49" i="11" s="1"/>
  <c r="H48" i="11"/>
  <c r="J48" i="11" s="1"/>
  <c r="K48" i="11" s="1"/>
  <c r="L48" i="11" s="1"/>
  <c r="H47" i="11"/>
  <c r="J47" i="11" s="1"/>
  <c r="K47" i="11" s="1"/>
  <c r="L47" i="11" s="1"/>
  <c r="H46" i="11"/>
  <c r="J46" i="11" s="1"/>
  <c r="K46" i="11" s="1"/>
  <c r="L46" i="11" s="1"/>
  <c r="H45" i="11"/>
  <c r="J45" i="11" s="1"/>
  <c r="K45" i="11" s="1"/>
  <c r="L45" i="11" s="1"/>
  <c r="S44" i="11"/>
  <c r="H44" i="11"/>
  <c r="J44" i="11" s="1"/>
  <c r="K44" i="11" s="1"/>
  <c r="L44" i="11" s="1"/>
  <c r="S43" i="11"/>
  <c r="H43" i="11"/>
  <c r="J43" i="11" s="1"/>
  <c r="K43" i="11" s="1"/>
  <c r="L43" i="11" s="1"/>
  <c r="S42" i="11"/>
  <c r="K42" i="11"/>
  <c r="L42" i="11" s="1"/>
  <c r="J42" i="11"/>
  <c r="H42" i="11"/>
  <c r="S41" i="11"/>
  <c r="H41" i="11"/>
  <c r="J41" i="11" s="1"/>
  <c r="K41" i="11" s="1"/>
  <c r="L41" i="11" s="1"/>
  <c r="S40" i="11"/>
  <c r="H40" i="11"/>
  <c r="J40" i="11" s="1"/>
  <c r="K40" i="11" s="1"/>
  <c r="L40" i="11" s="1"/>
  <c r="S39" i="11"/>
  <c r="J39" i="11"/>
  <c r="K39" i="11" s="1"/>
  <c r="L39" i="11" s="1"/>
  <c r="H39" i="11"/>
  <c r="S38" i="11"/>
  <c r="J38" i="11"/>
  <c r="K38" i="11" s="1"/>
  <c r="L38" i="11" s="1"/>
  <c r="H38" i="11"/>
  <c r="K36" i="11"/>
  <c r="L36" i="11" s="1"/>
  <c r="J36" i="11"/>
  <c r="H36" i="11"/>
  <c r="J35" i="11"/>
  <c r="K35" i="11" s="1"/>
  <c r="L35" i="11" s="1"/>
  <c r="H35" i="11"/>
  <c r="K34" i="11"/>
  <c r="L34" i="11" s="1"/>
  <c r="J34" i="11"/>
  <c r="H34" i="11"/>
  <c r="G32" i="11"/>
  <c r="H32" i="11" s="1"/>
  <c r="J32" i="11" s="1"/>
  <c r="K32" i="11" s="1"/>
  <c r="L32" i="11" s="1"/>
  <c r="H31" i="11"/>
  <c r="J31" i="11" s="1"/>
  <c r="K31" i="11" s="1"/>
  <c r="L31" i="11" s="1"/>
  <c r="G31" i="11"/>
  <c r="J30" i="11"/>
  <c r="K30" i="11" s="1"/>
  <c r="L30" i="11" s="1"/>
  <c r="H29" i="11"/>
  <c r="J29" i="11" s="1"/>
  <c r="K29" i="11" s="1"/>
  <c r="L29" i="11" s="1"/>
  <c r="H28" i="11"/>
  <c r="J28" i="11" s="1"/>
  <c r="K28" i="11" s="1"/>
  <c r="L28" i="11" s="1"/>
  <c r="H27" i="11"/>
  <c r="J27" i="11" s="1"/>
  <c r="K27" i="11" s="1"/>
  <c r="L27" i="11" s="1"/>
  <c r="H26" i="11"/>
  <c r="J26" i="11" s="1"/>
  <c r="K26" i="11" s="1"/>
  <c r="L26" i="11" s="1"/>
  <c r="H25" i="11"/>
  <c r="J25" i="11" s="1"/>
  <c r="K25" i="11" s="1"/>
  <c r="L25" i="11" s="1"/>
  <c r="H24" i="11"/>
  <c r="J24" i="11" s="1"/>
  <c r="K24" i="11" s="1"/>
  <c r="L24" i="11" s="1"/>
  <c r="J23" i="11"/>
  <c r="K23" i="11" s="1"/>
  <c r="L23" i="11" s="1"/>
  <c r="G22" i="11"/>
  <c r="H22" i="11" s="1"/>
  <c r="J22" i="11" s="1"/>
  <c r="K22" i="11" s="1"/>
  <c r="L22" i="11" s="1"/>
  <c r="H21" i="11"/>
  <c r="J21" i="11" s="1"/>
  <c r="K21" i="11" s="1"/>
  <c r="L21" i="11" s="1"/>
  <c r="G21" i="11"/>
  <c r="H20" i="11"/>
  <c r="J20" i="11" s="1"/>
  <c r="K20" i="11" s="1"/>
  <c r="L20" i="11" s="1"/>
  <c r="J19" i="11"/>
  <c r="K19" i="11" s="1"/>
  <c r="L19" i="11" s="1"/>
  <c r="H19" i="11"/>
  <c r="H18" i="11"/>
  <c r="J18" i="11" s="1"/>
  <c r="K18" i="11" s="1"/>
  <c r="L18" i="11" s="1"/>
  <c r="J17" i="11"/>
  <c r="K17" i="11" s="1"/>
  <c r="L17" i="11" s="1"/>
  <c r="H17" i="11"/>
  <c r="H16" i="11"/>
  <c r="J16" i="11" s="1"/>
  <c r="K16" i="11" s="1"/>
  <c r="L16" i="11" s="1"/>
  <c r="J15" i="11"/>
  <c r="H15" i="11"/>
  <c r="G33" i="11" s="1"/>
  <c r="H33" i="11" s="1"/>
  <c r="J33" i="11" s="1"/>
  <c r="K33" i="11" s="1"/>
  <c r="L33" i="11" s="1"/>
  <c r="G15" i="11"/>
  <c r="D9" i="11"/>
  <c r="L7" i="11"/>
  <c r="G7" i="11"/>
  <c r="C7" i="11"/>
  <c r="G5" i="11"/>
  <c r="C5" i="11"/>
  <c r="G3" i="11"/>
  <c r="C3" i="11"/>
  <c r="G55" i="10"/>
  <c r="I55" i="10" s="1"/>
  <c r="G54" i="10"/>
  <c r="I54" i="10" s="1"/>
  <c r="G53" i="10"/>
  <c r="I53" i="10" s="1"/>
  <c r="G52" i="10"/>
  <c r="I52" i="10" s="1"/>
  <c r="G51" i="10"/>
  <c r="I51" i="10" s="1"/>
  <c r="F51" i="10"/>
  <c r="G50" i="10"/>
  <c r="I50" i="10" s="1"/>
  <c r="F50" i="10"/>
  <c r="F49" i="10"/>
  <c r="G49" i="10" s="1"/>
  <c r="I49" i="10" s="1"/>
  <c r="F48" i="10"/>
  <c r="G48" i="10" s="1"/>
  <c r="I48" i="10" s="1"/>
  <c r="F47" i="10"/>
  <c r="G47" i="10" s="1"/>
  <c r="I46" i="10"/>
  <c r="K46" i="10" s="1"/>
  <c r="G46" i="10"/>
  <c r="F46" i="10"/>
  <c r="F45" i="10"/>
  <c r="G45" i="10" s="1"/>
  <c r="I45" i="10" s="1"/>
  <c r="F44" i="10"/>
  <c r="G44" i="10" s="1"/>
  <c r="I44" i="10" s="1"/>
  <c r="G41" i="10"/>
  <c r="I41" i="10" s="1"/>
  <c r="I40" i="10"/>
  <c r="K40" i="10" s="1"/>
  <c r="G40" i="10"/>
  <c r="F40" i="10"/>
  <c r="F39" i="10"/>
  <c r="G39" i="10" s="1"/>
  <c r="I39" i="10" s="1"/>
  <c r="F38" i="10"/>
  <c r="G38" i="10" s="1"/>
  <c r="I38" i="10" s="1"/>
  <c r="G37" i="10"/>
  <c r="I37" i="10" s="1"/>
  <c r="F36" i="10"/>
  <c r="G36" i="10" s="1"/>
  <c r="I36" i="10" s="1"/>
  <c r="I35" i="10"/>
  <c r="K35" i="10" s="1"/>
  <c r="G35" i="10"/>
  <c r="F35" i="10"/>
  <c r="I34" i="10"/>
  <c r="K34" i="10" s="1"/>
  <c r="G34" i="10"/>
  <c r="J33" i="10"/>
  <c r="I33" i="10"/>
  <c r="K33" i="10" s="1"/>
  <c r="G33" i="10"/>
  <c r="I32" i="10"/>
  <c r="K32" i="10" s="1"/>
  <c r="G32" i="10"/>
  <c r="F31" i="10"/>
  <c r="G31" i="10" s="1"/>
  <c r="I31" i="10" s="1"/>
  <c r="F30" i="10"/>
  <c r="G30" i="10" s="1"/>
  <c r="I30" i="10" s="1"/>
  <c r="F29" i="10"/>
  <c r="G29" i="10" s="1"/>
  <c r="I29" i="10" s="1"/>
  <c r="I28" i="10"/>
  <c r="K28" i="10" s="1"/>
  <c r="G28" i="10"/>
  <c r="F28" i="10"/>
  <c r="F27" i="10"/>
  <c r="G27" i="10" s="1"/>
  <c r="I27" i="10" s="1"/>
  <c r="F26" i="10"/>
  <c r="G26" i="10" s="1"/>
  <c r="I26" i="10" s="1"/>
  <c r="G25" i="10"/>
  <c r="I25" i="10" s="1"/>
  <c r="F25" i="10"/>
  <c r="G24" i="10"/>
  <c r="I24" i="10" s="1"/>
  <c r="F24" i="10"/>
  <c r="F23" i="10"/>
  <c r="G23" i="10" s="1"/>
  <c r="I23" i="10" s="1"/>
  <c r="F22" i="10"/>
  <c r="G22" i="10" s="1"/>
  <c r="I22" i="10" s="1"/>
  <c r="F21" i="10"/>
  <c r="G21" i="10" s="1"/>
  <c r="I21" i="10" s="1"/>
  <c r="I20" i="10"/>
  <c r="K20" i="10" s="1"/>
  <c r="G20" i="10"/>
  <c r="F20" i="10"/>
  <c r="F19" i="10"/>
  <c r="G19" i="10" s="1"/>
  <c r="I19" i="10" s="1"/>
  <c r="G18" i="10"/>
  <c r="I18" i="10" s="1"/>
  <c r="I17" i="10"/>
  <c r="J17" i="10" s="1"/>
  <c r="I16" i="10"/>
  <c r="K16" i="10" s="1"/>
  <c r="G16" i="10"/>
  <c r="F16" i="10"/>
  <c r="F15" i="10"/>
  <c r="G15" i="10" s="1"/>
  <c r="I15" i="10" s="1"/>
  <c r="F14" i="10"/>
  <c r="G14" i="10" s="1"/>
  <c r="D10" i="10"/>
  <c r="K7" i="10"/>
  <c r="F7" i="10"/>
  <c r="C7" i="10"/>
  <c r="F5" i="10"/>
  <c r="C5" i="10"/>
  <c r="F3" i="10"/>
  <c r="C3" i="10"/>
  <c r="G66" i="9"/>
  <c r="I66" i="9" s="1"/>
  <c r="G65" i="9"/>
  <c r="I65" i="9" s="1"/>
  <c r="G64" i="9"/>
  <c r="I64" i="9" s="1"/>
  <c r="G63" i="9"/>
  <c r="I63" i="9" s="1"/>
  <c r="G62" i="9"/>
  <c r="I62" i="9" s="1"/>
  <c r="G61" i="9"/>
  <c r="I61" i="9" s="1"/>
  <c r="G60" i="9"/>
  <c r="I60" i="9" s="1"/>
  <c r="G59" i="9"/>
  <c r="I59" i="9" s="1"/>
  <c r="F58" i="9"/>
  <c r="G58" i="9" s="1"/>
  <c r="I58" i="9" s="1"/>
  <c r="F57" i="9"/>
  <c r="G57" i="9" s="1"/>
  <c r="G54" i="9"/>
  <c r="I54" i="9" s="1"/>
  <c r="G53" i="9"/>
  <c r="I53" i="9" s="1"/>
  <c r="I52" i="9"/>
  <c r="K52" i="9" s="1"/>
  <c r="G52" i="9"/>
  <c r="I51" i="9"/>
  <c r="K51" i="9" s="1"/>
  <c r="G51" i="9"/>
  <c r="G50" i="9"/>
  <c r="I50" i="9" s="1"/>
  <c r="G49" i="9"/>
  <c r="I49" i="9" s="1"/>
  <c r="G48" i="9"/>
  <c r="I48" i="9" s="1"/>
  <c r="J47" i="9"/>
  <c r="P47" i="9" s="1"/>
  <c r="I47" i="9"/>
  <c r="K47" i="9" s="1"/>
  <c r="G47" i="9"/>
  <c r="G46" i="9"/>
  <c r="I46" i="9" s="1"/>
  <c r="G45" i="9"/>
  <c r="I45" i="9" s="1"/>
  <c r="I44" i="9"/>
  <c r="K44" i="9" s="1"/>
  <c r="G44" i="9"/>
  <c r="I43" i="9"/>
  <c r="K43" i="9" s="1"/>
  <c r="G43" i="9"/>
  <c r="G42" i="9"/>
  <c r="I42" i="9" s="1"/>
  <c r="G41" i="9"/>
  <c r="I41" i="9" s="1"/>
  <c r="G40" i="9"/>
  <c r="I40" i="9" s="1"/>
  <c r="J39" i="9"/>
  <c r="N39" i="9" s="1"/>
  <c r="I39" i="9"/>
  <c r="K39" i="9" s="1"/>
  <c r="G39" i="9"/>
  <c r="G38" i="9"/>
  <c r="I38" i="9" s="1"/>
  <c r="G37" i="9"/>
  <c r="I37" i="9" s="1"/>
  <c r="I36" i="9"/>
  <c r="K36" i="9" s="1"/>
  <c r="G36" i="9"/>
  <c r="F36" i="9"/>
  <c r="G35" i="9"/>
  <c r="I35" i="9" s="1"/>
  <c r="G34" i="9"/>
  <c r="I34" i="9" s="1"/>
  <c r="I33" i="9"/>
  <c r="K33" i="9" s="1"/>
  <c r="G33" i="9"/>
  <c r="I32" i="9"/>
  <c r="K32" i="9" s="1"/>
  <c r="G32" i="9"/>
  <c r="G31" i="9"/>
  <c r="I31" i="9" s="1"/>
  <c r="G30" i="9"/>
  <c r="I30" i="9" s="1"/>
  <c r="G29" i="9"/>
  <c r="I29" i="9" s="1"/>
  <c r="F28" i="9"/>
  <c r="G28" i="9" s="1"/>
  <c r="I28" i="9" s="1"/>
  <c r="G27" i="9"/>
  <c r="I27" i="9" s="1"/>
  <c r="F27" i="9"/>
  <c r="F26" i="9"/>
  <c r="G26" i="9" s="1"/>
  <c r="I26" i="9" s="1"/>
  <c r="F25" i="9"/>
  <c r="G25" i="9" s="1"/>
  <c r="I25" i="9" s="1"/>
  <c r="J24" i="9"/>
  <c r="M24" i="9" s="1"/>
  <c r="I24" i="9"/>
  <c r="K24" i="9" s="1"/>
  <c r="G24" i="9"/>
  <c r="G23" i="9"/>
  <c r="I23" i="9" s="1"/>
  <c r="G22" i="9"/>
  <c r="I22" i="9" s="1"/>
  <c r="I21" i="9"/>
  <c r="K21" i="9" s="1"/>
  <c r="G21" i="9"/>
  <c r="I20" i="9"/>
  <c r="K20" i="9" s="1"/>
  <c r="G20" i="9"/>
  <c r="F19" i="9"/>
  <c r="G19" i="9" s="1"/>
  <c r="I19" i="9" s="1"/>
  <c r="I18" i="9"/>
  <c r="K18" i="9" s="1"/>
  <c r="G18" i="9"/>
  <c r="F18" i="9"/>
  <c r="G17" i="9"/>
  <c r="I17" i="9" s="1"/>
  <c r="G16" i="9"/>
  <c r="I16" i="9" s="1"/>
  <c r="I15" i="9"/>
  <c r="K15" i="9" s="1"/>
  <c r="G15" i="9"/>
  <c r="F15" i="9"/>
  <c r="F14" i="9"/>
  <c r="G14" i="9" s="1"/>
  <c r="I14" i="9" s="1"/>
  <c r="G13" i="9"/>
  <c r="I13" i="9" s="1"/>
  <c r="F13" i="9"/>
  <c r="D9" i="9"/>
  <c r="K7" i="9"/>
  <c r="F7" i="9"/>
  <c r="C7" i="9"/>
  <c r="F5" i="9"/>
  <c r="C5" i="9"/>
  <c r="F3" i="9"/>
  <c r="C3" i="9"/>
  <c r="G66" i="8"/>
  <c r="I66" i="8" s="1"/>
  <c r="G65" i="8"/>
  <c r="I65" i="8" s="1"/>
  <c r="G64" i="8"/>
  <c r="I64" i="8" s="1"/>
  <c r="G63" i="8"/>
  <c r="I63" i="8" s="1"/>
  <c r="G62" i="8"/>
  <c r="I62" i="8" s="1"/>
  <c r="G61" i="8"/>
  <c r="I61" i="8" s="1"/>
  <c r="G60" i="8"/>
  <c r="I60" i="8" s="1"/>
  <c r="F59" i="8"/>
  <c r="G59" i="8" s="1"/>
  <c r="I59" i="8" s="1"/>
  <c r="I58" i="8"/>
  <c r="K58" i="8" s="1"/>
  <c r="G58" i="8"/>
  <c r="F58" i="8"/>
  <c r="F57" i="8"/>
  <c r="G57" i="8" s="1"/>
  <c r="G54" i="8"/>
  <c r="I54" i="8" s="1"/>
  <c r="G53" i="8"/>
  <c r="I53" i="8" s="1"/>
  <c r="G52" i="8"/>
  <c r="I52" i="8" s="1"/>
  <c r="G51" i="8"/>
  <c r="I51" i="8" s="1"/>
  <c r="G50" i="8"/>
  <c r="I50" i="8" s="1"/>
  <c r="G49" i="8"/>
  <c r="I49" i="8" s="1"/>
  <c r="G48" i="8"/>
  <c r="I48" i="8" s="1"/>
  <c r="G47" i="8"/>
  <c r="I47" i="8" s="1"/>
  <c r="G46" i="8"/>
  <c r="I46" i="8" s="1"/>
  <c r="G45" i="8"/>
  <c r="I45" i="8" s="1"/>
  <c r="G44" i="8"/>
  <c r="I44" i="8" s="1"/>
  <c r="G43" i="8"/>
  <c r="I43" i="8" s="1"/>
  <c r="G42" i="8"/>
  <c r="I42" i="8" s="1"/>
  <c r="G41" i="8"/>
  <c r="I41" i="8" s="1"/>
  <c r="G40" i="8"/>
  <c r="I40" i="8" s="1"/>
  <c r="G39" i="8"/>
  <c r="I39" i="8" s="1"/>
  <c r="G38" i="8"/>
  <c r="I38" i="8" s="1"/>
  <c r="G37" i="8"/>
  <c r="I37" i="8" s="1"/>
  <c r="G36" i="8"/>
  <c r="I36" i="8" s="1"/>
  <c r="F36" i="8"/>
  <c r="G35" i="8"/>
  <c r="I35" i="8" s="1"/>
  <c r="I34" i="8"/>
  <c r="K34" i="8" s="1"/>
  <c r="G34" i="8"/>
  <c r="G33" i="8"/>
  <c r="I33" i="8" s="1"/>
  <c r="I32" i="8"/>
  <c r="K32" i="8" s="1"/>
  <c r="G32" i="8"/>
  <c r="G31" i="8"/>
  <c r="I31" i="8" s="1"/>
  <c r="I30" i="8"/>
  <c r="K30" i="8" s="1"/>
  <c r="G30" i="8"/>
  <c r="G29" i="8"/>
  <c r="I29" i="8" s="1"/>
  <c r="I28" i="8"/>
  <c r="K28" i="8" s="1"/>
  <c r="G28" i="8"/>
  <c r="G27" i="8"/>
  <c r="I27" i="8" s="1"/>
  <c r="I26" i="8"/>
  <c r="K26" i="8" s="1"/>
  <c r="G26" i="8"/>
  <c r="G25" i="8"/>
  <c r="I25" i="8" s="1"/>
  <c r="I24" i="8"/>
  <c r="K24" i="8" s="1"/>
  <c r="G24" i="8"/>
  <c r="G23" i="8"/>
  <c r="I23" i="8" s="1"/>
  <c r="I22" i="8"/>
  <c r="K22" i="8" s="1"/>
  <c r="G22" i="8"/>
  <c r="G21" i="8"/>
  <c r="I21" i="8" s="1"/>
  <c r="I20" i="8"/>
  <c r="K20" i="8" s="1"/>
  <c r="G20" i="8"/>
  <c r="G19" i="8"/>
  <c r="I19" i="8" s="1"/>
  <c r="I18" i="8"/>
  <c r="K18" i="8" s="1"/>
  <c r="G18" i="8"/>
  <c r="G12" i="8" s="1"/>
  <c r="F18" i="8"/>
  <c r="I17" i="8"/>
  <c r="K17" i="8" s="1"/>
  <c r="G17" i="8"/>
  <c r="J16" i="8"/>
  <c r="I16" i="8"/>
  <c r="K16" i="8" s="1"/>
  <c r="G16" i="8"/>
  <c r="I15" i="8"/>
  <c r="K15" i="8" s="1"/>
  <c r="G15" i="8"/>
  <c r="J14" i="8"/>
  <c r="I14" i="8"/>
  <c r="K14" i="8" s="1"/>
  <c r="G14" i="8"/>
  <c r="I13" i="8"/>
  <c r="G13" i="8"/>
  <c r="D9" i="8"/>
  <c r="K7" i="8"/>
  <c r="F7" i="8"/>
  <c r="C7" i="8"/>
  <c r="F5" i="8"/>
  <c r="C5" i="8"/>
  <c r="F3" i="8"/>
  <c r="C3" i="8"/>
  <c r="R91" i="7"/>
  <c r="R90" i="7"/>
  <c r="R89" i="7"/>
  <c r="R88" i="7"/>
  <c r="R87" i="7"/>
  <c r="R86" i="7"/>
  <c r="R85" i="7"/>
  <c r="R84" i="7"/>
  <c r="R83" i="7"/>
  <c r="R82" i="7"/>
  <c r="R81" i="7"/>
  <c r="R80" i="7"/>
  <c r="R79" i="7"/>
  <c r="R78" i="7"/>
  <c r="R77" i="7"/>
  <c r="R76" i="7"/>
  <c r="R92" i="7" s="1"/>
  <c r="R68" i="7"/>
  <c r="R67" i="7"/>
  <c r="R66" i="7"/>
  <c r="R65" i="7"/>
  <c r="R64" i="7"/>
  <c r="R63" i="7"/>
  <c r="R62" i="7"/>
  <c r="R61" i="7"/>
  <c r="R60" i="7"/>
  <c r="R59" i="7"/>
  <c r="R58" i="7"/>
  <c r="R57" i="7"/>
  <c r="R56" i="7"/>
  <c r="R55" i="7"/>
  <c r="R54" i="7"/>
  <c r="R53" i="7"/>
  <c r="R69" i="7" s="1"/>
  <c r="R45" i="7"/>
  <c r="R44" i="7"/>
  <c r="R43" i="7"/>
  <c r="R42" i="7"/>
  <c r="R41" i="7"/>
  <c r="R40" i="7"/>
  <c r="R39" i="7"/>
  <c r="R38" i="7"/>
  <c r="R37" i="7"/>
  <c r="R36" i="7"/>
  <c r="R35" i="7"/>
  <c r="R34" i="7"/>
  <c r="R33" i="7"/>
  <c r="R32" i="7"/>
  <c r="R31" i="7"/>
  <c r="R30" i="7"/>
  <c r="R46" i="7" s="1"/>
  <c r="R22" i="7"/>
  <c r="R21" i="7"/>
  <c r="R20" i="7"/>
  <c r="R19" i="7"/>
  <c r="R18" i="7"/>
  <c r="R17" i="7"/>
  <c r="R16" i="7"/>
  <c r="R15" i="7"/>
  <c r="R14" i="7"/>
  <c r="R13" i="7"/>
  <c r="R12" i="7"/>
  <c r="R11" i="7"/>
  <c r="R10" i="7"/>
  <c r="R9" i="7"/>
  <c r="R8" i="7"/>
  <c r="R7" i="7"/>
  <c r="R23" i="7" s="1"/>
  <c r="N2" i="7"/>
  <c r="H2" i="7"/>
  <c r="R91" i="6"/>
  <c r="R90" i="6"/>
  <c r="R89" i="6"/>
  <c r="R88" i="6"/>
  <c r="R87" i="6"/>
  <c r="R86" i="6"/>
  <c r="R85" i="6"/>
  <c r="R84" i="6"/>
  <c r="R83" i="6"/>
  <c r="R82" i="6"/>
  <c r="R81" i="6"/>
  <c r="R80" i="6"/>
  <c r="R79" i="6"/>
  <c r="R78" i="6"/>
  <c r="R77" i="6"/>
  <c r="R76" i="6"/>
  <c r="R92" i="6" s="1"/>
  <c r="R68" i="6"/>
  <c r="R67" i="6"/>
  <c r="R66" i="6"/>
  <c r="R65" i="6"/>
  <c r="R64" i="6"/>
  <c r="R63" i="6"/>
  <c r="R62" i="6"/>
  <c r="R61" i="6"/>
  <c r="R60" i="6"/>
  <c r="R59" i="6"/>
  <c r="R58" i="6"/>
  <c r="R57" i="6"/>
  <c r="R56" i="6"/>
  <c r="R55" i="6"/>
  <c r="R54" i="6"/>
  <c r="R53" i="6"/>
  <c r="R69" i="6" s="1"/>
  <c r="R45" i="6"/>
  <c r="R44" i="6"/>
  <c r="R43" i="6"/>
  <c r="R42" i="6"/>
  <c r="R41" i="6"/>
  <c r="R40" i="6"/>
  <c r="R39" i="6"/>
  <c r="R38" i="6"/>
  <c r="R37" i="6"/>
  <c r="R36" i="6"/>
  <c r="R35" i="6"/>
  <c r="R34" i="6"/>
  <c r="R33" i="6"/>
  <c r="R32" i="6"/>
  <c r="R31" i="6"/>
  <c r="R30" i="6"/>
  <c r="R46" i="6" s="1"/>
  <c r="R22" i="6"/>
  <c r="R21" i="6"/>
  <c r="R20" i="6"/>
  <c r="R19" i="6"/>
  <c r="R18" i="6"/>
  <c r="R17" i="6"/>
  <c r="R16" i="6"/>
  <c r="R15" i="6"/>
  <c r="R14" i="6"/>
  <c r="R13" i="6"/>
  <c r="R12" i="6"/>
  <c r="R11" i="6"/>
  <c r="R10" i="6"/>
  <c r="R9" i="6"/>
  <c r="R8" i="6"/>
  <c r="R7" i="6"/>
  <c r="R23" i="6" s="1"/>
  <c r="N2" i="6"/>
  <c r="H2" i="6"/>
  <c r="R45" i="5"/>
  <c r="R44" i="5"/>
  <c r="R43" i="5"/>
  <c r="R42" i="5"/>
  <c r="R41" i="5"/>
  <c r="R40" i="5"/>
  <c r="R39" i="5"/>
  <c r="R38" i="5"/>
  <c r="R37" i="5"/>
  <c r="R36" i="5"/>
  <c r="R35" i="5"/>
  <c r="R34" i="5"/>
  <c r="R33" i="5"/>
  <c r="R32" i="5"/>
  <c r="R31" i="5"/>
  <c r="R30" i="5"/>
  <c r="R46" i="5" s="1"/>
  <c r="R22" i="5"/>
  <c r="R21" i="5"/>
  <c r="R20" i="5"/>
  <c r="R19" i="5"/>
  <c r="R18" i="5"/>
  <c r="R17" i="5"/>
  <c r="R16" i="5"/>
  <c r="R15" i="5"/>
  <c r="R14" i="5"/>
  <c r="R13" i="5"/>
  <c r="R12" i="5"/>
  <c r="R11" i="5"/>
  <c r="R10" i="5"/>
  <c r="R9" i="5"/>
  <c r="R8" i="5"/>
  <c r="R7" i="5"/>
  <c r="R23" i="5" s="1"/>
  <c r="N2" i="5"/>
  <c r="H2" i="5"/>
  <c r="R45" i="4"/>
  <c r="R44" i="4"/>
  <c r="R43" i="4"/>
  <c r="R42" i="4"/>
  <c r="R41" i="4"/>
  <c r="R40" i="4"/>
  <c r="R39" i="4"/>
  <c r="R38" i="4"/>
  <c r="R37" i="4"/>
  <c r="R36" i="4"/>
  <c r="R35" i="4"/>
  <c r="R34" i="4"/>
  <c r="R33" i="4"/>
  <c r="R32" i="4"/>
  <c r="R31" i="4"/>
  <c r="R30" i="4"/>
  <c r="R22" i="4"/>
  <c r="R21" i="4"/>
  <c r="R20" i="4"/>
  <c r="R19" i="4"/>
  <c r="R18" i="4"/>
  <c r="R17" i="4"/>
  <c r="R16" i="4"/>
  <c r="R15" i="4"/>
  <c r="R14" i="4"/>
  <c r="R13" i="4"/>
  <c r="R12" i="4"/>
  <c r="R11" i="4"/>
  <c r="R10" i="4"/>
  <c r="R9" i="4"/>
  <c r="R8" i="4"/>
  <c r="R7" i="4"/>
  <c r="R23" i="4" s="1"/>
  <c r="N2" i="4"/>
  <c r="H2" i="4"/>
  <c r="K197" i="3"/>
  <c r="M197" i="3" s="1"/>
  <c r="K196" i="3"/>
  <c r="M196" i="3" s="1"/>
  <c r="K195" i="3"/>
  <c r="M195" i="3" s="1"/>
  <c r="K194" i="3"/>
  <c r="M194" i="3" s="1"/>
  <c r="K193" i="3"/>
  <c r="M193" i="3" s="1"/>
  <c r="K192" i="3"/>
  <c r="M192" i="3" s="1"/>
  <c r="K191" i="3"/>
  <c r="M191" i="3" s="1"/>
  <c r="K190" i="3"/>
  <c r="M190" i="3" s="1"/>
  <c r="K189" i="3"/>
  <c r="M189" i="3" s="1"/>
  <c r="K188" i="3"/>
  <c r="M188" i="3" s="1"/>
  <c r="K187" i="3"/>
  <c r="M187" i="3" s="1"/>
  <c r="J186" i="3"/>
  <c r="K186" i="3" s="1"/>
  <c r="M186" i="3" s="1"/>
  <c r="M185" i="3"/>
  <c r="K185" i="3"/>
  <c r="J185" i="3"/>
  <c r="J184" i="3"/>
  <c r="K184" i="3" s="1"/>
  <c r="M184" i="3" s="1"/>
  <c r="J183" i="3"/>
  <c r="K183" i="3" s="1"/>
  <c r="F180" i="3"/>
  <c r="E180" i="3"/>
  <c r="B180" i="3"/>
  <c r="J180" i="3" s="1"/>
  <c r="K180" i="3" s="1"/>
  <c r="M180" i="3" s="1"/>
  <c r="I179" i="3"/>
  <c r="J179" i="3" s="1"/>
  <c r="K179" i="3" s="1"/>
  <c r="M179" i="3" s="1"/>
  <c r="F179" i="3"/>
  <c r="E179" i="3"/>
  <c r="B179" i="3"/>
  <c r="J178" i="3"/>
  <c r="K178" i="3" s="1"/>
  <c r="M178" i="3" s="1"/>
  <c r="F178" i="3"/>
  <c r="E178" i="3"/>
  <c r="D178" i="3"/>
  <c r="B178" i="3"/>
  <c r="I177" i="3"/>
  <c r="I180" i="3" s="1"/>
  <c r="B177" i="3"/>
  <c r="K176" i="3"/>
  <c r="M176" i="3" s="1"/>
  <c r="H176" i="3"/>
  <c r="F176" i="3"/>
  <c r="E176" i="3"/>
  <c r="D176" i="3"/>
  <c r="G176" i="3" s="1"/>
  <c r="H175" i="3"/>
  <c r="G175" i="3"/>
  <c r="D175" i="3"/>
  <c r="J175" i="3" s="1"/>
  <c r="K175" i="3" s="1"/>
  <c r="M175" i="3" s="1"/>
  <c r="C175" i="3"/>
  <c r="I178" i="3" s="1"/>
  <c r="K174" i="3"/>
  <c r="M174" i="3" s="1"/>
  <c r="J174" i="3"/>
  <c r="H174" i="3"/>
  <c r="G174" i="3"/>
  <c r="J173" i="3"/>
  <c r="K173" i="3" s="1"/>
  <c r="M173" i="3" s="1"/>
  <c r="D172" i="3"/>
  <c r="J172" i="3" s="1"/>
  <c r="K172" i="3" s="1"/>
  <c r="M172" i="3" s="1"/>
  <c r="N171" i="3"/>
  <c r="J171" i="3"/>
  <c r="K171" i="3" s="1"/>
  <c r="M171" i="3" s="1"/>
  <c r="O171" i="3" s="1"/>
  <c r="E171" i="3"/>
  <c r="K170" i="3"/>
  <c r="M170" i="3" s="1"/>
  <c r="O170" i="3" s="1"/>
  <c r="J170" i="3"/>
  <c r="J169" i="3"/>
  <c r="K169" i="3" s="1"/>
  <c r="M169" i="3" s="1"/>
  <c r="M167" i="3"/>
  <c r="J167" i="3"/>
  <c r="K167" i="3" s="1"/>
  <c r="I165" i="3"/>
  <c r="H165" i="3"/>
  <c r="C177" i="3" s="1"/>
  <c r="G165" i="3"/>
  <c r="F165" i="3"/>
  <c r="E165" i="3"/>
  <c r="D165" i="3"/>
  <c r="C165" i="3"/>
  <c r="J168" i="3" s="1"/>
  <c r="K168" i="3" s="1"/>
  <c r="M168" i="3" s="1"/>
  <c r="O168" i="3" s="1"/>
  <c r="I164" i="3"/>
  <c r="M163" i="3"/>
  <c r="N163" i="3" s="1"/>
  <c r="I163" i="3"/>
  <c r="F163" i="3"/>
  <c r="E163" i="3"/>
  <c r="B163" i="3"/>
  <c r="J163" i="3" s="1"/>
  <c r="K163" i="3" s="1"/>
  <c r="N162" i="3"/>
  <c r="I162" i="3"/>
  <c r="J162" i="3" s="1"/>
  <c r="K162" i="3" s="1"/>
  <c r="M162" i="3" s="1"/>
  <c r="O162" i="3" s="1"/>
  <c r="F162" i="3"/>
  <c r="E162" i="3"/>
  <c r="B162" i="3"/>
  <c r="J161" i="3"/>
  <c r="K161" i="3" s="1"/>
  <c r="M161" i="3" s="1"/>
  <c r="N161" i="3" s="1"/>
  <c r="F161" i="3"/>
  <c r="E161" i="3"/>
  <c r="D161" i="3"/>
  <c r="B161" i="3"/>
  <c r="J160" i="3"/>
  <c r="K160" i="3" s="1"/>
  <c r="M160" i="3" s="1"/>
  <c r="I160" i="3"/>
  <c r="F160" i="3"/>
  <c r="B160" i="3"/>
  <c r="K159" i="3"/>
  <c r="M159" i="3" s="1"/>
  <c r="O159" i="3" s="1"/>
  <c r="H159" i="3"/>
  <c r="F159" i="3"/>
  <c r="E159" i="3"/>
  <c r="D159" i="3"/>
  <c r="G159" i="3" s="1"/>
  <c r="H158" i="3"/>
  <c r="G158" i="3"/>
  <c r="D158" i="3"/>
  <c r="J158" i="3" s="1"/>
  <c r="C158" i="3"/>
  <c r="J157" i="3"/>
  <c r="K157" i="3" s="1"/>
  <c r="M157" i="3" s="1"/>
  <c r="H157" i="3"/>
  <c r="G157" i="3"/>
  <c r="J156" i="3"/>
  <c r="K156" i="3" s="1"/>
  <c r="M156" i="3" s="1"/>
  <c r="N156" i="3" s="1"/>
  <c r="D155" i="3"/>
  <c r="J155" i="3" s="1"/>
  <c r="K155" i="3" s="1"/>
  <c r="M155" i="3" s="1"/>
  <c r="K154" i="3"/>
  <c r="M154" i="3" s="1"/>
  <c r="J154" i="3"/>
  <c r="E154" i="3"/>
  <c r="J153" i="3"/>
  <c r="K153" i="3" s="1"/>
  <c r="M153" i="3" s="1"/>
  <c r="O153" i="3" s="1"/>
  <c r="J152" i="3"/>
  <c r="K152" i="3" s="1"/>
  <c r="M152" i="3" s="1"/>
  <c r="I148" i="3"/>
  <c r="H148" i="3"/>
  <c r="C160" i="3" s="1"/>
  <c r="F148" i="3"/>
  <c r="E148" i="3"/>
  <c r="D148" i="3"/>
  <c r="C148" i="3"/>
  <c r="I147" i="3"/>
  <c r="F146" i="3"/>
  <c r="E146" i="3"/>
  <c r="B146" i="3"/>
  <c r="J146" i="3" s="1"/>
  <c r="K146" i="3" s="1"/>
  <c r="M146" i="3" s="1"/>
  <c r="I145" i="3"/>
  <c r="J145" i="3" s="1"/>
  <c r="K145" i="3" s="1"/>
  <c r="M145" i="3" s="1"/>
  <c r="F145" i="3"/>
  <c r="E145" i="3"/>
  <c r="B145" i="3"/>
  <c r="J144" i="3"/>
  <c r="K144" i="3" s="1"/>
  <c r="M144" i="3" s="1"/>
  <c r="F144" i="3"/>
  <c r="E144" i="3"/>
  <c r="D144" i="3"/>
  <c r="B144" i="3"/>
  <c r="I143" i="3"/>
  <c r="I146" i="3" s="1"/>
  <c r="B143" i="3"/>
  <c r="N142" i="3"/>
  <c r="K142" i="3"/>
  <c r="M142" i="3" s="1"/>
  <c r="O142" i="3" s="1"/>
  <c r="H142" i="3"/>
  <c r="G142" i="3"/>
  <c r="F142" i="3"/>
  <c r="E142" i="3"/>
  <c r="D142" i="3"/>
  <c r="J141" i="3"/>
  <c r="K141" i="3" s="1"/>
  <c r="M141" i="3" s="1"/>
  <c r="N141" i="3" s="1"/>
  <c r="H141" i="3"/>
  <c r="G141" i="3"/>
  <c r="E141" i="3"/>
  <c r="D141" i="3"/>
  <c r="C141" i="3"/>
  <c r="I144" i="3" s="1"/>
  <c r="N140" i="3"/>
  <c r="K140" i="3"/>
  <c r="M140" i="3" s="1"/>
  <c r="O140" i="3" s="1"/>
  <c r="J140" i="3"/>
  <c r="H140" i="3"/>
  <c r="G140" i="3"/>
  <c r="M139" i="3"/>
  <c r="J139" i="3"/>
  <c r="K139" i="3" s="1"/>
  <c r="D138" i="3"/>
  <c r="J138" i="3" s="1"/>
  <c r="K138" i="3" s="1"/>
  <c r="M138" i="3" s="1"/>
  <c r="O138" i="3" s="1"/>
  <c r="K137" i="3"/>
  <c r="M137" i="3" s="1"/>
  <c r="O137" i="3" s="1"/>
  <c r="J137" i="3"/>
  <c r="E137" i="3"/>
  <c r="N136" i="3"/>
  <c r="K136" i="3"/>
  <c r="M136" i="3" s="1"/>
  <c r="O136" i="3" s="1"/>
  <c r="J136" i="3"/>
  <c r="O135" i="3"/>
  <c r="J135" i="3"/>
  <c r="K135" i="3" s="1"/>
  <c r="M135" i="3" s="1"/>
  <c r="N135" i="3" s="1"/>
  <c r="M133" i="3"/>
  <c r="J133" i="3"/>
  <c r="K133" i="3" s="1"/>
  <c r="I131" i="3"/>
  <c r="H131" i="3"/>
  <c r="C143" i="3" s="1"/>
  <c r="J143" i="3" s="1"/>
  <c r="K143" i="3" s="1"/>
  <c r="M143" i="3" s="1"/>
  <c r="G131" i="3"/>
  <c r="F131" i="3"/>
  <c r="E131" i="3"/>
  <c r="D131" i="3"/>
  <c r="C131" i="3"/>
  <c r="J134" i="3" s="1"/>
  <c r="K134" i="3" s="1"/>
  <c r="M134" i="3" s="1"/>
  <c r="I130" i="3"/>
  <c r="M129" i="3"/>
  <c r="N129" i="3" s="1"/>
  <c r="J129" i="3"/>
  <c r="K129" i="3" s="1"/>
  <c r="I129" i="3"/>
  <c r="F129" i="3"/>
  <c r="E129" i="3"/>
  <c r="B129" i="3"/>
  <c r="I128" i="3"/>
  <c r="J128" i="3" s="1"/>
  <c r="K128" i="3" s="1"/>
  <c r="M128" i="3" s="1"/>
  <c r="F128" i="3"/>
  <c r="E128" i="3"/>
  <c r="B128" i="3"/>
  <c r="J127" i="3"/>
  <c r="F127" i="3"/>
  <c r="E127" i="3"/>
  <c r="D127" i="3"/>
  <c r="B127" i="3"/>
  <c r="I126" i="3"/>
  <c r="B126" i="3"/>
  <c r="K125" i="3"/>
  <c r="M125" i="3" s="1"/>
  <c r="O125" i="3" s="1"/>
  <c r="H125" i="3"/>
  <c r="G125" i="3"/>
  <c r="F125" i="3"/>
  <c r="E125" i="3"/>
  <c r="D125" i="3"/>
  <c r="J124" i="3"/>
  <c r="K124" i="3" s="1"/>
  <c r="M124" i="3" s="1"/>
  <c r="H124" i="3"/>
  <c r="G124" i="3"/>
  <c r="D124" i="3"/>
  <c r="C124" i="3"/>
  <c r="N123" i="3"/>
  <c r="J123" i="3"/>
  <c r="K123" i="3" s="1"/>
  <c r="M123" i="3" s="1"/>
  <c r="O123" i="3" s="1"/>
  <c r="H123" i="3"/>
  <c r="G123" i="3"/>
  <c r="O122" i="3"/>
  <c r="M122" i="3"/>
  <c r="N122" i="3" s="1"/>
  <c r="J122" i="3"/>
  <c r="K122" i="3" s="1"/>
  <c r="K121" i="3"/>
  <c r="M121" i="3" s="1"/>
  <c r="O121" i="3" s="1"/>
  <c r="D121" i="3"/>
  <c r="J121" i="3" s="1"/>
  <c r="K120" i="3"/>
  <c r="M120" i="3" s="1"/>
  <c r="J120" i="3"/>
  <c r="E120" i="3"/>
  <c r="N119" i="3"/>
  <c r="J119" i="3"/>
  <c r="K119" i="3" s="1"/>
  <c r="M119" i="3" s="1"/>
  <c r="O119" i="3" s="1"/>
  <c r="M118" i="3"/>
  <c r="N118" i="3" s="1"/>
  <c r="J118" i="3"/>
  <c r="K118" i="3" s="1"/>
  <c r="I114" i="3"/>
  <c r="H114" i="3"/>
  <c r="C126" i="3" s="1"/>
  <c r="E126" i="3" s="1"/>
  <c r="F114" i="3"/>
  <c r="E114" i="3"/>
  <c r="D114" i="3"/>
  <c r="C114" i="3"/>
  <c r="I113" i="3"/>
  <c r="F112" i="3"/>
  <c r="E112" i="3"/>
  <c r="B112" i="3"/>
  <c r="J112" i="3" s="1"/>
  <c r="K112" i="3" s="1"/>
  <c r="M112" i="3" s="1"/>
  <c r="I111" i="3"/>
  <c r="J111" i="3" s="1"/>
  <c r="K111" i="3" s="1"/>
  <c r="M111" i="3" s="1"/>
  <c r="F111" i="3"/>
  <c r="E111" i="3"/>
  <c r="B111" i="3"/>
  <c r="M110" i="3"/>
  <c r="J110" i="3"/>
  <c r="K110" i="3" s="1"/>
  <c r="F110" i="3"/>
  <c r="E110" i="3"/>
  <c r="D110" i="3"/>
  <c r="B110" i="3"/>
  <c r="J109" i="3"/>
  <c r="K109" i="3" s="1"/>
  <c r="M109" i="3" s="1"/>
  <c r="I109" i="3"/>
  <c r="I112" i="3" s="1"/>
  <c r="B109" i="3"/>
  <c r="N108" i="3"/>
  <c r="K108" i="3"/>
  <c r="M108" i="3" s="1"/>
  <c r="O108" i="3" s="1"/>
  <c r="H108" i="3"/>
  <c r="G108" i="3"/>
  <c r="F108" i="3"/>
  <c r="E108" i="3"/>
  <c r="D108" i="3"/>
  <c r="J107" i="3"/>
  <c r="K107" i="3" s="1"/>
  <c r="M107" i="3" s="1"/>
  <c r="N107" i="3" s="1"/>
  <c r="H107" i="3"/>
  <c r="G107" i="3"/>
  <c r="E107" i="3"/>
  <c r="D107" i="3"/>
  <c r="C107" i="3"/>
  <c r="I110" i="3" s="1"/>
  <c r="N106" i="3"/>
  <c r="K106" i="3"/>
  <c r="M106" i="3" s="1"/>
  <c r="O106" i="3" s="1"/>
  <c r="J106" i="3"/>
  <c r="H106" i="3"/>
  <c r="G106" i="3"/>
  <c r="J105" i="3"/>
  <c r="K105" i="3" s="1"/>
  <c r="M105" i="3" s="1"/>
  <c r="D104" i="3"/>
  <c r="J104" i="3" s="1"/>
  <c r="K104" i="3" s="1"/>
  <c r="M104" i="3" s="1"/>
  <c r="O104" i="3" s="1"/>
  <c r="K103" i="3"/>
  <c r="M103" i="3" s="1"/>
  <c r="O103" i="3" s="1"/>
  <c r="J103" i="3"/>
  <c r="E103" i="3"/>
  <c r="K102" i="3"/>
  <c r="M102" i="3" s="1"/>
  <c r="O102" i="3" s="1"/>
  <c r="J102" i="3"/>
  <c r="O101" i="3"/>
  <c r="J101" i="3"/>
  <c r="K101" i="3" s="1"/>
  <c r="M101" i="3" s="1"/>
  <c r="N101" i="3" s="1"/>
  <c r="J99" i="3"/>
  <c r="K99" i="3" s="1"/>
  <c r="I97" i="3"/>
  <c r="H97" i="3"/>
  <c r="C109" i="3" s="1"/>
  <c r="F97" i="3"/>
  <c r="E97" i="3"/>
  <c r="G97" i="3" s="1"/>
  <c r="D97" i="3"/>
  <c r="C97" i="3"/>
  <c r="J100" i="3" s="1"/>
  <c r="K100" i="3" s="1"/>
  <c r="M100" i="3" s="1"/>
  <c r="I96" i="3"/>
  <c r="I95" i="3"/>
  <c r="F95" i="3"/>
  <c r="E95" i="3"/>
  <c r="B95" i="3"/>
  <c r="J95" i="3" s="1"/>
  <c r="K95" i="3" s="1"/>
  <c r="M95" i="3" s="1"/>
  <c r="I94" i="3"/>
  <c r="J94" i="3" s="1"/>
  <c r="K94" i="3" s="1"/>
  <c r="M94" i="3" s="1"/>
  <c r="F94" i="3"/>
  <c r="E94" i="3"/>
  <c r="B94" i="3"/>
  <c r="J93" i="3"/>
  <c r="K93" i="3" s="1"/>
  <c r="M93" i="3" s="1"/>
  <c r="F93" i="3"/>
  <c r="E93" i="3"/>
  <c r="D93" i="3"/>
  <c r="B93" i="3"/>
  <c r="I92" i="3"/>
  <c r="F92" i="3"/>
  <c r="B92" i="3"/>
  <c r="K91" i="3"/>
  <c r="M91" i="3" s="1"/>
  <c r="O91" i="3" s="1"/>
  <c r="H91" i="3"/>
  <c r="G91" i="3"/>
  <c r="F91" i="3"/>
  <c r="E91" i="3"/>
  <c r="D91" i="3"/>
  <c r="J90" i="3"/>
  <c r="K90" i="3" s="1"/>
  <c r="M90" i="3" s="1"/>
  <c r="H90" i="3"/>
  <c r="G90" i="3"/>
  <c r="E90" i="3"/>
  <c r="D90" i="3"/>
  <c r="C90" i="3"/>
  <c r="N89" i="3"/>
  <c r="J89" i="3"/>
  <c r="K89" i="3" s="1"/>
  <c r="M89" i="3" s="1"/>
  <c r="O89" i="3" s="1"/>
  <c r="H89" i="3"/>
  <c r="G89" i="3"/>
  <c r="J88" i="3"/>
  <c r="K88" i="3" s="1"/>
  <c r="M88" i="3" s="1"/>
  <c r="K87" i="3"/>
  <c r="M87" i="3" s="1"/>
  <c r="O87" i="3" s="1"/>
  <c r="D87" i="3"/>
  <c r="J87" i="3" s="1"/>
  <c r="K86" i="3"/>
  <c r="M86" i="3" s="1"/>
  <c r="J86" i="3"/>
  <c r="E86" i="3"/>
  <c r="J85" i="3"/>
  <c r="K85" i="3" s="1"/>
  <c r="M85" i="3" s="1"/>
  <c r="O85" i="3" s="1"/>
  <c r="M84" i="3"/>
  <c r="N84" i="3" s="1"/>
  <c r="J84" i="3"/>
  <c r="K84" i="3" s="1"/>
  <c r="I80" i="3"/>
  <c r="H80" i="3"/>
  <c r="C92" i="3" s="1"/>
  <c r="E92" i="3" s="1"/>
  <c r="F80" i="3"/>
  <c r="E80" i="3"/>
  <c r="D80" i="3"/>
  <c r="C80" i="3"/>
  <c r="I79" i="3"/>
  <c r="F78" i="3"/>
  <c r="E78" i="3"/>
  <c r="B78" i="3"/>
  <c r="J78" i="3" s="1"/>
  <c r="K78" i="3" s="1"/>
  <c r="M78" i="3" s="1"/>
  <c r="K77" i="3"/>
  <c r="M77" i="3" s="1"/>
  <c r="I77" i="3"/>
  <c r="J77" i="3" s="1"/>
  <c r="F77" i="3"/>
  <c r="E77" i="3"/>
  <c r="B77" i="3"/>
  <c r="M76" i="3"/>
  <c r="J76" i="3"/>
  <c r="K76" i="3" s="1"/>
  <c r="F76" i="3"/>
  <c r="E76" i="3"/>
  <c r="D76" i="3"/>
  <c r="B76" i="3"/>
  <c r="J75" i="3"/>
  <c r="K75" i="3" s="1"/>
  <c r="M75" i="3" s="1"/>
  <c r="I75" i="3"/>
  <c r="I78" i="3" s="1"/>
  <c r="B75" i="3"/>
  <c r="K74" i="3"/>
  <c r="M74" i="3" s="1"/>
  <c r="O74" i="3" s="1"/>
  <c r="H74" i="3"/>
  <c r="G74" i="3"/>
  <c r="F74" i="3"/>
  <c r="E74" i="3"/>
  <c r="D74" i="3"/>
  <c r="O73" i="3"/>
  <c r="J73" i="3"/>
  <c r="K73" i="3" s="1"/>
  <c r="M73" i="3" s="1"/>
  <c r="N73" i="3" s="1"/>
  <c r="H73" i="3"/>
  <c r="G73" i="3"/>
  <c r="E73" i="3"/>
  <c r="D73" i="3"/>
  <c r="C73" i="3"/>
  <c r="I76" i="3" s="1"/>
  <c r="N72" i="3"/>
  <c r="K72" i="3"/>
  <c r="M72" i="3" s="1"/>
  <c r="O72" i="3" s="1"/>
  <c r="J72" i="3"/>
  <c r="H72" i="3"/>
  <c r="G72" i="3"/>
  <c r="J71" i="3"/>
  <c r="K71" i="3" s="1"/>
  <c r="M71" i="3" s="1"/>
  <c r="D70" i="3"/>
  <c r="J70" i="3" s="1"/>
  <c r="K70" i="3" s="1"/>
  <c r="M70" i="3" s="1"/>
  <c r="O70" i="3" s="1"/>
  <c r="N69" i="3"/>
  <c r="K69" i="3"/>
  <c r="M69" i="3" s="1"/>
  <c r="O69" i="3" s="1"/>
  <c r="J69" i="3"/>
  <c r="E69" i="3"/>
  <c r="K68" i="3"/>
  <c r="M68" i="3" s="1"/>
  <c r="O68" i="3" s="1"/>
  <c r="J68" i="3"/>
  <c r="O67" i="3"/>
  <c r="J67" i="3"/>
  <c r="K67" i="3" s="1"/>
  <c r="M67" i="3" s="1"/>
  <c r="N67" i="3" s="1"/>
  <c r="K66" i="3"/>
  <c r="M66" i="3" s="1"/>
  <c r="O66" i="3" s="1"/>
  <c r="M65" i="3"/>
  <c r="J65" i="3"/>
  <c r="K65" i="3" s="1"/>
  <c r="I63" i="3"/>
  <c r="H63" i="3"/>
  <c r="C75" i="3" s="1"/>
  <c r="F63" i="3"/>
  <c r="E63" i="3"/>
  <c r="G63" i="3" s="1"/>
  <c r="D63" i="3"/>
  <c r="C63" i="3"/>
  <c r="J66" i="3" s="1"/>
  <c r="I62" i="3"/>
  <c r="I61" i="3"/>
  <c r="F61" i="3"/>
  <c r="E61" i="3"/>
  <c r="B61" i="3"/>
  <c r="J61" i="3" s="1"/>
  <c r="K61" i="3" s="1"/>
  <c r="M61" i="3" s="1"/>
  <c r="I60" i="3"/>
  <c r="J60" i="3" s="1"/>
  <c r="K60" i="3" s="1"/>
  <c r="M60" i="3" s="1"/>
  <c r="F60" i="3"/>
  <c r="E60" i="3"/>
  <c r="B60" i="3"/>
  <c r="J59" i="3"/>
  <c r="K59" i="3" s="1"/>
  <c r="M59" i="3" s="1"/>
  <c r="F59" i="3"/>
  <c r="E59" i="3"/>
  <c r="D59" i="3"/>
  <c r="B59" i="3"/>
  <c r="J58" i="3"/>
  <c r="K58" i="3" s="1"/>
  <c r="M58" i="3" s="1"/>
  <c r="N58" i="3" s="1"/>
  <c r="I58" i="3"/>
  <c r="F58" i="3"/>
  <c r="B58" i="3"/>
  <c r="N57" i="3"/>
  <c r="K57" i="3"/>
  <c r="M57" i="3" s="1"/>
  <c r="O57" i="3" s="1"/>
  <c r="H57" i="3"/>
  <c r="G57" i="3"/>
  <c r="F57" i="3"/>
  <c r="E57" i="3"/>
  <c r="D57" i="3"/>
  <c r="J56" i="3"/>
  <c r="H56" i="3"/>
  <c r="G56" i="3"/>
  <c r="E56" i="3"/>
  <c r="D56" i="3"/>
  <c r="C56" i="3"/>
  <c r="N55" i="3"/>
  <c r="J55" i="3"/>
  <c r="K55" i="3" s="1"/>
  <c r="M55" i="3" s="1"/>
  <c r="O55" i="3" s="1"/>
  <c r="H55" i="3"/>
  <c r="G55" i="3"/>
  <c r="J54" i="3"/>
  <c r="K54" i="3" s="1"/>
  <c r="M54" i="3" s="1"/>
  <c r="K53" i="3"/>
  <c r="M53" i="3" s="1"/>
  <c r="O53" i="3" s="1"/>
  <c r="D53" i="3"/>
  <c r="J53" i="3" s="1"/>
  <c r="K52" i="3"/>
  <c r="M52" i="3" s="1"/>
  <c r="J52" i="3"/>
  <c r="E52" i="3"/>
  <c r="J51" i="3"/>
  <c r="K51" i="3" s="1"/>
  <c r="M51" i="3" s="1"/>
  <c r="O51" i="3" s="1"/>
  <c r="M50" i="3"/>
  <c r="N50" i="3" s="1"/>
  <c r="J50" i="3"/>
  <c r="K50" i="3" s="1"/>
  <c r="I46" i="3"/>
  <c r="H46" i="3"/>
  <c r="C58" i="3" s="1"/>
  <c r="E58" i="3" s="1"/>
  <c r="F46" i="3"/>
  <c r="G46" i="3" s="1"/>
  <c r="E46" i="3"/>
  <c r="D46" i="3"/>
  <c r="C46" i="3"/>
  <c r="I45" i="3"/>
  <c r="F44" i="3"/>
  <c r="E44" i="3"/>
  <c r="B44" i="3"/>
  <c r="J44" i="3" s="1"/>
  <c r="K44" i="3" s="1"/>
  <c r="M44" i="3" s="1"/>
  <c r="I43" i="3"/>
  <c r="J43" i="3" s="1"/>
  <c r="K43" i="3" s="1"/>
  <c r="M43" i="3" s="1"/>
  <c r="F43" i="3"/>
  <c r="E43" i="3"/>
  <c r="B43" i="3"/>
  <c r="J42" i="3"/>
  <c r="F42" i="3"/>
  <c r="E42" i="3"/>
  <c r="D42" i="3"/>
  <c r="B42" i="3"/>
  <c r="I41" i="3"/>
  <c r="I44" i="3" s="1"/>
  <c r="B41" i="3"/>
  <c r="N40" i="3"/>
  <c r="K40" i="3"/>
  <c r="M40" i="3" s="1"/>
  <c r="O40" i="3" s="1"/>
  <c r="H40" i="3"/>
  <c r="G40" i="3"/>
  <c r="F40" i="3"/>
  <c r="E40" i="3"/>
  <c r="D40" i="3"/>
  <c r="J39" i="3"/>
  <c r="H39" i="3"/>
  <c r="G39" i="3"/>
  <c r="D39" i="3"/>
  <c r="N38" i="3"/>
  <c r="K38" i="3"/>
  <c r="M38" i="3" s="1"/>
  <c r="O38" i="3" s="1"/>
  <c r="J38" i="3"/>
  <c r="H38" i="3"/>
  <c r="G38" i="3"/>
  <c r="M37" i="3"/>
  <c r="J37" i="3"/>
  <c r="K37" i="3" s="1"/>
  <c r="N36" i="3"/>
  <c r="D36" i="3"/>
  <c r="J36" i="3" s="1"/>
  <c r="K36" i="3" s="1"/>
  <c r="M36" i="3" s="1"/>
  <c r="O36" i="3" s="1"/>
  <c r="K35" i="3"/>
  <c r="M35" i="3" s="1"/>
  <c r="O35" i="3" s="1"/>
  <c r="J35" i="3"/>
  <c r="J34" i="3"/>
  <c r="K34" i="3" s="1"/>
  <c r="M34" i="3" s="1"/>
  <c r="J33" i="3"/>
  <c r="K33" i="3" s="1"/>
  <c r="M33" i="3" s="1"/>
  <c r="O33" i="3" s="1"/>
  <c r="I29" i="3"/>
  <c r="H29" i="3"/>
  <c r="F29" i="3" s="1"/>
  <c r="C39" i="3" s="1"/>
  <c r="E29" i="3"/>
  <c r="D29" i="3"/>
  <c r="I28" i="3"/>
  <c r="F27" i="3"/>
  <c r="E27" i="3"/>
  <c r="B27" i="3"/>
  <c r="F26" i="3"/>
  <c r="E26" i="3"/>
  <c r="B26" i="3"/>
  <c r="F25" i="3"/>
  <c r="E25" i="3"/>
  <c r="D25" i="3"/>
  <c r="B25" i="3"/>
  <c r="I24" i="3"/>
  <c r="B24" i="3"/>
  <c r="H23" i="3"/>
  <c r="F23" i="3"/>
  <c r="E23" i="3"/>
  <c r="D23" i="3"/>
  <c r="G23" i="3" s="1"/>
  <c r="H22" i="3"/>
  <c r="D22" i="3"/>
  <c r="M21" i="3"/>
  <c r="N21" i="3" s="1"/>
  <c r="J21" i="3"/>
  <c r="K21" i="3" s="1"/>
  <c r="H21" i="3"/>
  <c r="N20" i="3"/>
  <c r="K20" i="3"/>
  <c r="M20" i="3" s="1"/>
  <c r="O20" i="3" s="1"/>
  <c r="J20" i="3"/>
  <c r="M19" i="3"/>
  <c r="O19" i="3" s="1"/>
  <c r="J19" i="3"/>
  <c r="K19" i="3" s="1"/>
  <c r="D19" i="3"/>
  <c r="K18" i="3"/>
  <c r="M18" i="3" s="1"/>
  <c r="N18" i="3" s="1"/>
  <c r="J18" i="3"/>
  <c r="E18" i="3"/>
  <c r="J17" i="3"/>
  <c r="K17" i="3" s="1"/>
  <c r="M17" i="3" s="1"/>
  <c r="K16" i="3"/>
  <c r="M16" i="3" s="1"/>
  <c r="O16" i="3" s="1"/>
  <c r="J16" i="3"/>
  <c r="I12" i="3"/>
  <c r="H12" i="3"/>
  <c r="E12" i="3"/>
  <c r="D12" i="3"/>
  <c r="I11" i="3"/>
  <c r="D9" i="3"/>
  <c r="M197" i="2"/>
  <c r="O197" i="2" s="1"/>
  <c r="K197" i="2"/>
  <c r="M196" i="2"/>
  <c r="K196" i="2"/>
  <c r="K195" i="2"/>
  <c r="M195" i="2" s="1"/>
  <c r="K194" i="2"/>
  <c r="M194" i="2" s="1"/>
  <c r="M193" i="2"/>
  <c r="O193" i="2" s="1"/>
  <c r="K193" i="2"/>
  <c r="K192" i="2"/>
  <c r="M192" i="2" s="1"/>
  <c r="K191" i="2"/>
  <c r="M191" i="2" s="1"/>
  <c r="K190" i="2"/>
  <c r="M190" i="2" s="1"/>
  <c r="K189" i="2"/>
  <c r="M189" i="2" s="1"/>
  <c r="C188" i="2"/>
  <c r="K188" i="2" s="1"/>
  <c r="M188" i="2" s="1"/>
  <c r="N187" i="2"/>
  <c r="M187" i="2"/>
  <c r="O187" i="2" s="1"/>
  <c r="K187" i="2"/>
  <c r="J186" i="2"/>
  <c r="K186" i="2" s="1"/>
  <c r="M186" i="2" s="1"/>
  <c r="J185" i="2"/>
  <c r="K185" i="2" s="1"/>
  <c r="M185" i="2" s="1"/>
  <c r="O185" i="2" s="1"/>
  <c r="J184" i="2"/>
  <c r="K184" i="2" s="1"/>
  <c r="M184" i="2" s="1"/>
  <c r="K183" i="2"/>
  <c r="J183" i="2"/>
  <c r="F180" i="2"/>
  <c r="E180" i="2"/>
  <c r="B180" i="2"/>
  <c r="F179" i="2"/>
  <c r="E179" i="2"/>
  <c r="B179" i="2"/>
  <c r="F178" i="2"/>
  <c r="E178" i="2"/>
  <c r="D178" i="2"/>
  <c r="B178" i="2"/>
  <c r="I177" i="2"/>
  <c r="B177" i="2"/>
  <c r="K176" i="2"/>
  <c r="M176" i="2" s="1"/>
  <c r="J176" i="2"/>
  <c r="H176" i="2"/>
  <c r="F176" i="2"/>
  <c r="E176" i="2"/>
  <c r="D176" i="2"/>
  <c r="G176" i="2" s="1"/>
  <c r="H175" i="2"/>
  <c r="D175" i="2"/>
  <c r="J175" i="2" s="1"/>
  <c r="O174" i="2"/>
  <c r="K174" i="2"/>
  <c r="M174" i="2" s="1"/>
  <c r="N174" i="2" s="1"/>
  <c r="J174" i="2"/>
  <c r="H174" i="2"/>
  <c r="G174" i="2"/>
  <c r="O173" i="2"/>
  <c r="N173" i="2"/>
  <c r="J173" i="2"/>
  <c r="K173" i="2" s="1"/>
  <c r="M173" i="2" s="1"/>
  <c r="J172" i="2"/>
  <c r="K172" i="2" s="1"/>
  <c r="M172" i="2" s="1"/>
  <c r="D172" i="2"/>
  <c r="K171" i="2"/>
  <c r="M171" i="2" s="1"/>
  <c r="J171" i="2"/>
  <c r="E171" i="2"/>
  <c r="J170" i="2"/>
  <c r="K170" i="2" s="1"/>
  <c r="M170" i="2" s="1"/>
  <c r="E170" i="2"/>
  <c r="K169" i="2"/>
  <c r="M169" i="2" s="1"/>
  <c r="J169" i="2"/>
  <c r="E169" i="2"/>
  <c r="L165" i="2"/>
  <c r="I165" i="2"/>
  <c r="H165" i="2"/>
  <c r="C177" i="2" s="1"/>
  <c r="J177" i="2" s="1"/>
  <c r="K177" i="2" s="1"/>
  <c r="M177" i="2" s="1"/>
  <c r="E165" i="2"/>
  <c r="D165" i="2"/>
  <c r="I164" i="2"/>
  <c r="I163" i="2"/>
  <c r="F163" i="2"/>
  <c r="E163" i="2"/>
  <c r="B163" i="2"/>
  <c r="J163" i="2" s="1"/>
  <c r="K163" i="2" s="1"/>
  <c r="M163" i="2" s="1"/>
  <c r="J162" i="2"/>
  <c r="K162" i="2" s="1"/>
  <c r="M162" i="2" s="1"/>
  <c r="I162" i="2"/>
  <c r="F162" i="2"/>
  <c r="E162" i="2"/>
  <c r="B162" i="2"/>
  <c r="J161" i="2"/>
  <c r="F161" i="2"/>
  <c r="E161" i="2"/>
  <c r="D161" i="2"/>
  <c r="B161" i="2"/>
  <c r="I160" i="2"/>
  <c r="E160" i="2"/>
  <c r="C160" i="2"/>
  <c r="D160" i="2" s="1"/>
  <c r="B160" i="2"/>
  <c r="H159" i="2"/>
  <c r="F159" i="2"/>
  <c r="E159" i="2"/>
  <c r="D159" i="2"/>
  <c r="G159" i="2" s="1"/>
  <c r="H158" i="2"/>
  <c r="D158" i="2"/>
  <c r="G158" i="2" s="1"/>
  <c r="J157" i="2"/>
  <c r="K157" i="2" s="1"/>
  <c r="M157" i="2" s="1"/>
  <c r="H157" i="2"/>
  <c r="G157" i="2"/>
  <c r="K156" i="2"/>
  <c r="M156" i="2" s="1"/>
  <c r="J156" i="2"/>
  <c r="D155" i="2"/>
  <c r="J155" i="2" s="1"/>
  <c r="K155" i="2" s="1"/>
  <c r="M155" i="2" s="1"/>
  <c r="K154" i="2"/>
  <c r="M154" i="2" s="1"/>
  <c r="J154" i="2"/>
  <c r="E154" i="2"/>
  <c r="J153" i="2"/>
  <c r="K153" i="2" s="1"/>
  <c r="M153" i="2" s="1"/>
  <c r="E153" i="2"/>
  <c r="O152" i="2"/>
  <c r="M152" i="2"/>
  <c r="N152" i="2" s="1"/>
  <c r="K152" i="2"/>
  <c r="J152" i="2"/>
  <c r="E152" i="2"/>
  <c r="I148" i="2"/>
  <c r="H148" i="2"/>
  <c r="F148" i="2" s="1"/>
  <c r="E148" i="2"/>
  <c r="D148" i="2"/>
  <c r="C148" i="2"/>
  <c r="J151" i="2" s="1"/>
  <c r="K151" i="2" s="1"/>
  <c r="M151" i="2" s="1"/>
  <c r="I147" i="2"/>
  <c r="I146" i="2"/>
  <c r="J146" i="2" s="1"/>
  <c r="K146" i="2" s="1"/>
  <c r="M146" i="2" s="1"/>
  <c r="F146" i="2"/>
  <c r="E146" i="2"/>
  <c r="B146" i="2"/>
  <c r="F145" i="2"/>
  <c r="E145" i="2"/>
  <c r="B145" i="2"/>
  <c r="F144" i="2"/>
  <c r="E144" i="2"/>
  <c r="D144" i="2"/>
  <c r="B144" i="2"/>
  <c r="K143" i="2"/>
  <c r="M143" i="2" s="1"/>
  <c r="I143" i="2"/>
  <c r="I145" i="2" s="1"/>
  <c r="J145" i="2" s="1"/>
  <c r="K145" i="2" s="1"/>
  <c r="M145" i="2" s="1"/>
  <c r="E143" i="2"/>
  <c r="D143" i="2"/>
  <c r="C143" i="2"/>
  <c r="J143" i="2" s="1"/>
  <c r="B143" i="2"/>
  <c r="M142" i="2"/>
  <c r="N142" i="2" s="1"/>
  <c r="K142" i="2"/>
  <c r="J142" i="2"/>
  <c r="H142" i="2"/>
  <c r="G142" i="2"/>
  <c r="F142" i="2"/>
  <c r="E142" i="2"/>
  <c r="D142" i="2"/>
  <c r="J141" i="2"/>
  <c r="H141" i="2"/>
  <c r="G141" i="2"/>
  <c r="D141" i="2"/>
  <c r="K141" i="2" s="1"/>
  <c r="M141" i="2" s="1"/>
  <c r="M140" i="2"/>
  <c r="O140" i="2" s="1"/>
  <c r="K140" i="2"/>
  <c r="J140" i="2"/>
  <c r="H140" i="2"/>
  <c r="G140" i="2"/>
  <c r="K139" i="2"/>
  <c r="M139" i="2" s="1"/>
  <c r="J139" i="2"/>
  <c r="K138" i="2"/>
  <c r="M138" i="2" s="1"/>
  <c r="J138" i="2"/>
  <c r="D138" i="2"/>
  <c r="J137" i="2"/>
  <c r="K137" i="2" s="1"/>
  <c r="M137" i="2" s="1"/>
  <c r="E137" i="2"/>
  <c r="K136" i="2"/>
  <c r="M136" i="2" s="1"/>
  <c r="J136" i="2"/>
  <c r="E136" i="2"/>
  <c r="O135" i="2"/>
  <c r="M135" i="2"/>
  <c r="N135" i="2" s="1"/>
  <c r="K135" i="2"/>
  <c r="J135" i="2"/>
  <c r="E135" i="2"/>
  <c r="I131" i="2"/>
  <c r="H131" i="2"/>
  <c r="F131" i="2"/>
  <c r="C141" i="2" s="1"/>
  <c r="E131" i="2"/>
  <c r="D131" i="2"/>
  <c r="G131" i="2" s="1"/>
  <c r="C131" i="2"/>
  <c r="J134" i="2" s="1"/>
  <c r="K134" i="2" s="1"/>
  <c r="M134" i="2" s="1"/>
  <c r="I130" i="2"/>
  <c r="F129" i="2"/>
  <c r="E129" i="2"/>
  <c r="B129" i="2"/>
  <c r="F128" i="2"/>
  <c r="E128" i="2"/>
  <c r="B128" i="2"/>
  <c r="F127" i="2"/>
  <c r="E127" i="2"/>
  <c r="D127" i="2"/>
  <c r="B127" i="2"/>
  <c r="I126" i="2"/>
  <c r="I129" i="2" s="1"/>
  <c r="J129" i="2" s="1"/>
  <c r="K129" i="2" s="1"/>
  <c r="M129" i="2" s="1"/>
  <c r="C126" i="2"/>
  <c r="J126" i="2" s="1"/>
  <c r="K126" i="2" s="1"/>
  <c r="M126" i="2" s="1"/>
  <c r="B126" i="2"/>
  <c r="H125" i="2"/>
  <c r="G125" i="2"/>
  <c r="F125" i="2"/>
  <c r="E125" i="2"/>
  <c r="D125" i="2"/>
  <c r="J125" i="2" s="1"/>
  <c r="K125" i="2" s="1"/>
  <c r="M125" i="2" s="1"/>
  <c r="J124" i="2"/>
  <c r="H124" i="2"/>
  <c r="G124" i="2"/>
  <c r="D124" i="2"/>
  <c r="K124" i="2" s="1"/>
  <c r="M124" i="2" s="1"/>
  <c r="K123" i="2"/>
  <c r="M123" i="2" s="1"/>
  <c r="J123" i="2"/>
  <c r="H123" i="2"/>
  <c r="G123" i="2"/>
  <c r="J122" i="2"/>
  <c r="K122" i="2" s="1"/>
  <c r="M122" i="2" s="1"/>
  <c r="D121" i="2"/>
  <c r="J121" i="2" s="1"/>
  <c r="K121" i="2" s="1"/>
  <c r="M121" i="2" s="1"/>
  <c r="K120" i="2"/>
  <c r="M120" i="2" s="1"/>
  <c r="J120" i="2"/>
  <c r="E120" i="2"/>
  <c r="K119" i="2"/>
  <c r="M119" i="2" s="1"/>
  <c r="J119" i="2"/>
  <c r="E119" i="2"/>
  <c r="K118" i="2"/>
  <c r="M118" i="2" s="1"/>
  <c r="J118" i="2"/>
  <c r="E118" i="2"/>
  <c r="I114" i="2"/>
  <c r="H114" i="2"/>
  <c r="G114" i="2"/>
  <c r="F114" i="2"/>
  <c r="C124" i="2" s="1"/>
  <c r="E114" i="2"/>
  <c r="D114" i="2"/>
  <c r="C114" i="2"/>
  <c r="J116" i="2" s="1"/>
  <c r="K116" i="2" s="1"/>
  <c r="I113" i="2"/>
  <c r="I112" i="2"/>
  <c r="F112" i="2"/>
  <c r="E112" i="2"/>
  <c r="B112" i="2"/>
  <c r="J112" i="2" s="1"/>
  <c r="K112" i="2" s="1"/>
  <c r="M112" i="2" s="1"/>
  <c r="I111" i="2"/>
  <c r="J111" i="2" s="1"/>
  <c r="K111" i="2" s="1"/>
  <c r="M111" i="2" s="1"/>
  <c r="F111" i="2"/>
  <c r="E111" i="2"/>
  <c r="B111" i="2"/>
  <c r="J110" i="2"/>
  <c r="F110" i="2"/>
  <c r="E110" i="2"/>
  <c r="D110" i="2"/>
  <c r="B110" i="2"/>
  <c r="I109" i="2"/>
  <c r="B109" i="2"/>
  <c r="H108" i="2"/>
  <c r="F108" i="2"/>
  <c r="E108" i="2"/>
  <c r="D108" i="2"/>
  <c r="H107" i="2"/>
  <c r="D107" i="2"/>
  <c r="G107" i="2" s="1"/>
  <c r="J106" i="2"/>
  <c r="K106" i="2" s="1"/>
  <c r="M106" i="2" s="1"/>
  <c r="H106" i="2"/>
  <c r="K105" i="2"/>
  <c r="M105" i="2" s="1"/>
  <c r="J105" i="2"/>
  <c r="D104" i="2"/>
  <c r="J104" i="2" s="1"/>
  <c r="K104" i="2" s="1"/>
  <c r="M104" i="2" s="1"/>
  <c r="J103" i="2"/>
  <c r="K103" i="2" s="1"/>
  <c r="M103" i="2" s="1"/>
  <c r="E103" i="2"/>
  <c r="J102" i="2"/>
  <c r="K102" i="2" s="1"/>
  <c r="M102" i="2" s="1"/>
  <c r="E102" i="2"/>
  <c r="J101" i="2"/>
  <c r="K101" i="2" s="1"/>
  <c r="M101" i="2" s="1"/>
  <c r="E101" i="2"/>
  <c r="I97" i="2"/>
  <c r="H97" i="2"/>
  <c r="F97" i="2" s="1"/>
  <c r="E97" i="2"/>
  <c r="D97" i="2"/>
  <c r="I96" i="2"/>
  <c r="F95" i="2"/>
  <c r="E95" i="2"/>
  <c r="B95" i="2"/>
  <c r="F94" i="2"/>
  <c r="E94" i="2"/>
  <c r="B94" i="2"/>
  <c r="F93" i="2"/>
  <c r="E93" i="2"/>
  <c r="D93" i="2"/>
  <c r="B93" i="2"/>
  <c r="I92" i="2"/>
  <c r="I95" i="2" s="1"/>
  <c r="J95" i="2" s="1"/>
  <c r="K95" i="2" s="1"/>
  <c r="M95" i="2" s="1"/>
  <c r="B92" i="2"/>
  <c r="J91" i="2"/>
  <c r="H91" i="2"/>
  <c r="F91" i="2"/>
  <c r="E91" i="2"/>
  <c r="D91" i="2"/>
  <c r="K91" i="2" s="1"/>
  <c r="M91" i="2" s="1"/>
  <c r="H90" i="2"/>
  <c r="G90" i="2"/>
  <c r="D90" i="2"/>
  <c r="J90" i="2" s="1"/>
  <c r="K90" i="2" s="1"/>
  <c r="M90" i="2" s="1"/>
  <c r="K89" i="2"/>
  <c r="M89" i="2" s="1"/>
  <c r="J89" i="2"/>
  <c r="H89" i="2"/>
  <c r="G89" i="2"/>
  <c r="J88" i="2"/>
  <c r="K88" i="2" s="1"/>
  <c r="M88" i="2" s="1"/>
  <c r="K87" i="2"/>
  <c r="M87" i="2" s="1"/>
  <c r="J87" i="2"/>
  <c r="D87" i="2"/>
  <c r="K86" i="2"/>
  <c r="M86" i="2" s="1"/>
  <c r="J86" i="2"/>
  <c r="E86" i="2"/>
  <c r="K85" i="2"/>
  <c r="M85" i="2" s="1"/>
  <c r="J85" i="2"/>
  <c r="E85" i="2"/>
  <c r="J84" i="2"/>
  <c r="K84" i="2" s="1"/>
  <c r="M84" i="2" s="1"/>
  <c r="E84" i="2"/>
  <c r="O83" i="2"/>
  <c r="N83" i="2"/>
  <c r="M83" i="2"/>
  <c r="I80" i="2"/>
  <c r="H80" i="2"/>
  <c r="F80" i="2" s="1"/>
  <c r="C90" i="2" s="1"/>
  <c r="E80" i="2"/>
  <c r="D80" i="2"/>
  <c r="G80" i="2" s="1"/>
  <c r="I79" i="2"/>
  <c r="F78" i="2"/>
  <c r="E78" i="2"/>
  <c r="B78" i="2"/>
  <c r="F77" i="2"/>
  <c r="E77" i="2"/>
  <c r="B77" i="2"/>
  <c r="F76" i="2"/>
  <c r="E76" i="2"/>
  <c r="D76" i="2"/>
  <c r="B76" i="2"/>
  <c r="I75" i="2"/>
  <c r="I78" i="2" s="1"/>
  <c r="E75" i="2"/>
  <c r="C75" i="2"/>
  <c r="F75" i="2" s="1"/>
  <c r="B75" i="2"/>
  <c r="J74" i="2"/>
  <c r="K74" i="2" s="1"/>
  <c r="M74" i="2" s="1"/>
  <c r="H74" i="2"/>
  <c r="G74" i="2"/>
  <c r="F74" i="2"/>
  <c r="E74" i="2"/>
  <c r="D74" i="2"/>
  <c r="J73" i="2"/>
  <c r="H73" i="2"/>
  <c r="E73" i="2"/>
  <c r="D73" i="2"/>
  <c r="K73" i="2" s="1"/>
  <c r="M73" i="2" s="1"/>
  <c r="C73" i="2"/>
  <c r="I76" i="2" s="1"/>
  <c r="J72" i="2"/>
  <c r="K72" i="2" s="1"/>
  <c r="M72" i="2" s="1"/>
  <c r="H72" i="2"/>
  <c r="G72" i="2"/>
  <c r="O71" i="2"/>
  <c r="M71" i="2"/>
  <c r="N71" i="2" s="1"/>
  <c r="K71" i="2"/>
  <c r="J71" i="2"/>
  <c r="D70" i="2"/>
  <c r="J70" i="2" s="1"/>
  <c r="K70" i="2" s="1"/>
  <c r="M70" i="2" s="1"/>
  <c r="K69" i="2"/>
  <c r="M69" i="2" s="1"/>
  <c r="J69" i="2"/>
  <c r="E69" i="2"/>
  <c r="J68" i="2"/>
  <c r="K68" i="2" s="1"/>
  <c r="M68" i="2" s="1"/>
  <c r="E68" i="2"/>
  <c r="K67" i="2"/>
  <c r="M67" i="2" s="1"/>
  <c r="J67" i="2"/>
  <c r="E67" i="2"/>
  <c r="J65" i="2"/>
  <c r="K65" i="2" s="1"/>
  <c r="I63" i="2"/>
  <c r="H63" i="2"/>
  <c r="G63" i="2"/>
  <c r="F63" i="2"/>
  <c r="E63" i="2"/>
  <c r="D63" i="2"/>
  <c r="C63" i="2"/>
  <c r="J66" i="2" s="1"/>
  <c r="K66" i="2" s="1"/>
  <c r="M66" i="2" s="1"/>
  <c r="I62" i="2"/>
  <c r="F61" i="2"/>
  <c r="E61" i="2"/>
  <c r="B61" i="2"/>
  <c r="I60" i="2"/>
  <c r="J60" i="2" s="1"/>
  <c r="K60" i="2" s="1"/>
  <c r="M60" i="2" s="1"/>
  <c r="F60" i="2"/>
  <c r="E60" i="2"/>
  <c r="B60" i="2"/>
  <c r="J59" i="2"/>
  <c r="F59" i="2"/>
  <c r="E59" i="2"/>
  <c r="D59" i="2"/>
  <c r="B59" i="2"/>
  <c r="I58" i="2"/>
  <c r="I61" i="2" s="1"/>
  <c r="J61" i="2" s="1"/>
  <c r="K61" i="2" s="1"/>
  <c r="M61" i="2" s="1"/>
  <c r="B58" i="2"/>
  <c r="K57" i="2"/>
  <c r="M57" i="2" s="1"/>
  <c r="J57" i="2"/>
  <c r="H57" i="2"/>
  <c r="F57" i="2"/>
  <c r="E57" i="2"/>
  <c r="D57" i="2"/>
  <c r="G57" i="2" s="1"/>
  <c r="H56" i="2"/>
  <c r="D56" i="2"/>
  <c r="G55" i="2" s="1"/>
  <c r="O55" i="2"/>
  <c r="M55" i="2"/>
  <c r="N55" i="2" s="1"/>
  <c r="K55" i="2"/>
  <c r="J55" i="2"/>
  <c r="H55" i="2"/>
  <c r="K54" i="2"/>
  <c r="M54" i="2" s="1"/>
  <c r="J54" i="2"/>
  <c r="J53" i="2"/>
  <c r="K53" i="2" s="1"/>
  <c r="M53" i="2" s="1"/>
  <c r="D53" i="2"/>
  <c r="J52" i="2"/>
  <c r="K52" i="2" s="1"/>
  <c r="M52" i="2" s="1"/>
  <c r="E52" i="2"/>
  <c r="J51" i="2"/>
  <c r="K51" i="2" s="1"/>
  <c r="M51" i="2" s="1"/>
  <c r="E51" i="2"/>
  <c r="J50" i="2"/>
  <c r="K50" i="2" s="1"/>
  <c r="M50" i="2" s="1"/>
  <c r="E50" i="2"/>
  <c r="I46" i="2"/>
  <c r="H46" i="2"/>
  <c r="C58" i="2" s="1"/>
  <c r="F46" i="2"/>
  <c r="C56" i="2" s="1"/>
  <c r="E46" i="2"/>
  <c r="D46" i="2"/>
  <c r="G46" i="2" s="1"/>
  <c r="I45" i="2"/>
  <c r="I44" i="2"/>
  <c r="J44" i="2" s="1"/>
  <c r="K44" i="2" s="1"/>
  <c r="M44" i="2" s="1"/>
  <c r="F44" i="2"/>
  <c r="E44" i="2"/>
  <c r="B44" i="2"/>
  <c r="F43" i="2"/>
  <c r="E43" i="2"/>
  <c r="B43" i="2"/>
  <c r="F42" i="2"/>
  <c r="E42" i="2"/>
  <c r="D42" i="2"/>
  <c r="B42" i="2"/>
  <c r="I41" i="2"/>
  <c r="I43" i="2" s="1"/>
  <c r="J43" i="2" s="1"/>
  <c r="K43" i="2" s="1"/>
  <c r="M43" i="2" s="1"/>
  <c r="E41" i="2"/>
  <c r="C41" i="2"/>
  <c r="D41" i="2" s="1"/>
  <c r="B41" i="2"/>
  <c r="J40" i="2"/>
  <c r="H40" i="2"/>
  <c r="G40" i="2"/>
  <c r="F40" i="2"/>
  <c r="E40" i="2"/>
  <c r="D40" i="2"/>
  <c r="K40" i="2" s="1"/>
  <c r="M40" i="2" s="1"/>
  <c r="J39" i="2"/>
  <c r="H39" i="2"/>
  <c r="G39" i="2"/>
  <c r="D39" i="2"/>
  <c r="K38" i="2"/>
  <c r="M38" i="2" s="1"/>
  <c r="J38" i="2"/>
  <c r="H38" i="2"/>
  <c r="G38" i="2"/>
  <c r="J37" i="2"/>
  <c r="K37" i="2" s="1"/>
  <c r="M37" i="2" s="1"/>
  <c r="D36" i="2"/>
  <c r="J36" i="2" s="1"/>
  <c r="K36" i="2" s="1"/>
  <c r="M36" i="2" s="1"/>
  <c r="K35" i="2"/>
  <c r="M35" i="2" s="1"/>
  <c r="J35" i="2"/>
  <c r="J34" i="2"/>
  <c r="K34" i="2" s="1"/>
  <c r="M34" i="2" s="1"/>
  <c r="E34" i="2"/>
  <c r="J33" i="2"/>
  <c r="K33" i="2" s="1"/>
  <c r="M33" i="2" s="1"/>
  <c r="E33" i="2"/>
  <c r="J32" i="2"/>
  <c r="K32" i="2" s="1"/>
  <c r="M32" i="2" s="1"/>
  <c r="I29" i="2"/>
  <c r="H29" i="2"/>
  <c r="F29" i="2" s="1"/>
  <c r="C39" i="2" s="1"/>
  <c r="E29" i="2"/>
  <c r="D29" i="2"/>
  <c r="G29" i="2" s="1"/>
  <c r="C29" i="2"/>
  <c r="J31" i="2" s="1"/>
  <c r="K31" i="2" s="1"/>
  <c r="I28" i="2"/>
  <c r="F27" i="2"/>
  <c r="E27" i="2"/>
  <c r="B27" i="2"/>
  <c r="I26" i="2"/>
  <c r="J26" i="2" s="1"/>
  <c r="K26" i="2" s="1"/>
  <c r="M26" i="2" s="1"/>
  <c r="F26" i="2"/>
  <c r="E26" i="2"/>
  <c r="B26" i="2"/>
  <c r="F25" i="2"/>
  <c r="E25" i="2"/>
  <c r="D25" i="2"/>
  <c r="B25" i="2"/>
  <c r="I24" i="2"/>
  <c r="I27" i="2" s="1"/>
  <c r="J27" i="2" s="1"/>
  <c r="K27" i="2" s="1"/>
  <c r="M27" i="2" s="1"/>
  <c r="B24" i="2"/>
  <c r="H23" i="2"/>
  <c r="F23" i="2"/>
  <c r="E23" i="2"/>
  <c r="D23" i="2"/>
  <c r="J23" i="2" s="1"/>
  <c r="K23" i="2" s="1"/>
  <c r="M23" i="2" s="1"/>
  <c r="H22" i="2"/>
  <c r="D22" i="2"/>
  <c r="J21" i="2"/>
  <c r="K21" i="2" s="1"/>
  <c r="M21" i="2" s="1"/>
  <c r="H21" i="2"/>
  <c r="J20" i="2"/>
  <c r="K20" i="2" s="1"/>
  <c r="M20" i="2" s="1"/>
  <c r="D19" i="2"/>
  <c r="J19" i="2" s="1"/>
  <c r="K19" i="2" s="1"/>
  <c r="M19" i="2" s="1"/>
  <c r="J18" i="2"/>
  <c r="K18" i="2" s="1"/>
  <c r="M18" i="2" s="1"/>
  <c r="E18" i="2"/>
  <c r="K17" i="2"/>
  <c r="M17" i="2" s="1"/>
  <c r="J17" i="2"/>
  <c r="E17" i="2"/>
  <c r="J16" i="2"/>
  <c r="K16" i="2" s="1"/>
  <c r="M16" i="2" s="1"/>
  <c r="E16" i="2"/>
  <c r="I12" i="2"/>
  <c r="H12" i="2"/>
  <c r="C24" i="2" s="1"/>
  <c r="J24" i="2" s="1"/>
  <c r="K24" i="2" s="1"/>
  <c r="M24" i="2" s="1"/>
  <c r="E12" i="2"/>
  <c r="D12" i="2"/>
  <c r="I11" i="2"/>
  <c r="D9" i="2"/>
  <c r="I27" i="1"/>
  <c r="T25" i="1"/>
  <c r="S25" i="1"/>
  <c r="T23" i="1"/>
  <c r="S23" i="1"/>
  <c r="T22" i="1"/>
  <c r="S22" i="1"/>
  <c r="T21" i="1"/>
  <c r="S21" i="1"/>
  <c r="T19" i="1"/>
  <c r="S19" i="1"/>
  <c r="T18" i="1"/>
  <c r="S18" i="1"/>
  <c r="O12" i="1"/>
  <c r="L12" i="1" s="1"/>
  <c r="N12" i="1"/>
  <c r="M12" i="1"/>
  <c r="K12" i="1"/>
  <c r="I11" i="1"/>
  <c r="D9" i="1"/>
  <c r="N16" i="3" l="1"/>
  <c r="N185" i="2"/>
  <c r="U21" i="1"/>
  <c r="U25" i="1"/>
  <c r="U19" i="1"/>
  <c r="U22" i="1"/>
  <c r="U23" i="1"/>
  <c r="G23" i="2"/>
  <c r="K182" i="2"/>
  <c r="U20" i="1"/>
  <c r="U24" i="1"/>
  <c r="G21" i="2"/>
  <c r="J25" i="2"/>
  <c r="U18" i="1"/>
  <c r="F12" i="2"/>
  <c r="J22" i="2"/>
  <c r="M31" i="2"/>
  <c r="O53" i="2"/>
  <c r="N53" i="2"/>
  <c r="N73" i="2"/>
  <c r="O73" i="2"/>
  <c r="K110" i="2"/>
  <c r="M110" i="2" s="1"/>
  <c r="N44" i="3"/>
  <c r="O44" i="3"/>
  <c r="N95" i="3"/>
  <c r="O95" i="3"/>
  <c r="O18" i="2"/>
  <c r="N18" i="2"/>
  <c r="O61" i="2"/>
  <c r="N61" i="2"/>
  <c r="O84" i="2"/>
  <c r="N84" i="2"/>
  <c r="O105" i="2"/>
  <c r="N105" i="2"/>
  <c r="O141" i="2"/>
  <c r="N141" i="2"/>
  <c r="N61" i="3"/>
  <c r="O61" i="3"/>
  <c r="N109" i="3"/>
  <c r="O109" i="3"/>
  <c r="O19" i="2"/>
  <c r="N19" i="2"/>
  <c r="O26" i="2"/>
  <c r="N26" i="2"/>
  <c r="O44" i="2"/>
  <c r="N44" i="2"/>
  <c r="N50" i="2"/>
  <c r="O50" i="2"/>
  <c r="O54" i="2"/>
  <c r="N54" i="2"/>
  <c r="N60" i="2"/>
  <c r="O60" i="2"/>
  <c r="O87" i="2"/>
  <c r="N87" i="2"/>
  <c r="O101" i="2"/>
  <c r="N101" i="2"/>
  <c r="K114" i="2"/>
  <c r="L114" i="2" s="1"/>
  <c r="M116" i="2"/>
  <c r="O121" i="2"/>
  <c r="N121" i="2"/>
  <c r="N126" i="2"/>
  <c r="O126" i="2"/>
  <c r="F141" i="2"/>
  <c r="E141" i="2"/>
  <c r="I144" i="2"/>
  <c r="O143" i="2"/>
  <c r="N143" i="2"/>
  <c r="G148" i="2"/>
  <c r="C158" i="2"/>
  <c r="J150" i="2"/>
  <c r="K150" i="2" s="1"/>
  <c r="O153" i="2"/>
  <c r="N153" i="2"/>
  <c r="O184" i="2"/>
  <c r="N184" i="2"/>
  <c r="O194" i="2"/>
  <c r="N194" i="2"/>
  <c r="N54" i="3"/>
  <c r="O54" i="3"/>
  <c r="N124" i="3"/>
  <c r="O124" i="3"/>
  <c r="O124" i="2"/>
  <c r="N124" i="2"/>
  <c r="O156" i="2"/>
  <c r="N156" i="2"/>
  <c r="O60" i="3"/>
  <c r="N60" i="3"/>
  <c r="N143" i="3"/>
  <c r="O143" i="3"/>
  <c r="N34" i="2"/>
  <c r="O34" i="2"/>
  <c r="O38" i="2"/>
  <c r="N38" i="2"/>
  <c r="O67" i="2"/>
  <c r="N67" i="2"/>
  <c r="O74" i="2"/>
  <c r="N74" i="2"/>
  <c r="O95" i="2"/>
  <c r="N95" i="2"/>
  <c r="O120" i="2"/>
  <c r="N120" i="2"/>
  <c r="O138" i="2"/>
  <c r="N138" i="2"/>
  <c r="O145" i="2"/>
  <c r="N145" i="2"/>
  <c r="O171" i="2"/>
  <c r="N171" i="2"/>
  <c r="N17" i="3"/>
  <c r="O17" i="3"/>
  <c r="N78" i="3"/>
  <c r="O78" i="3"/>
  <c r="O16" i="2"/>
  <c r="N16" i="2"/>
  <c r="O20" i="2"/>
  <c r="N20" i="2"/>
  <c r="O23" i="2"/>
  <c r="N23" i="2"/>
  <c r="I42" i="2"/>
  <c r="F39" i="2"/>
  <c r="E39" i="2"/>
  <c r="O35" i="2"/>
  <c r="N35" i="2"/>
  <c r="O68" i="2"/>
  <c r="N68" i="2"/>
  <c r="F90" i="2"/>
  <c r="E90" i="2"/>
  <c r="I93" i="2"/>
  <c r="O88" i="2"/>
  <c r="N88" i="2"/>
  <c r="N91" i="2"/>
  <c r="O91" i="2"/>
  <c r="O106" i="2"/>
  <c r="N106" i="2"/>
  <c r="O118" i="2"/>
  <c r="N118" i="2"/>
  <c r="O122" i="2"/>
  <c r="N122" i="2"/>
  <c r="N129" i="2"/>
  <c r="O129" i="2"/>
  <c r="O139" i="2"/>
  <c r="N139" i="2"/>
  <c r="N157" i="2"/>
  <c r="O157" i="2"/>
  <c r="O172" i="2"/>
  <c r="N172" i="2"/>
  <c r="O176" i="2"/>
  <c r="N176" i="2"/>
  <c r="O195" i="2"/>
  <c r="N195" i="2"/>
  <c r="I42" i="3"/>
  <c r="F39" i="3"/>
  <c r="E39" i="3"/>
  <c r="N88" i="3"/>
  <c r="O88" i="3"/>
  <c r="N93" i="3"/>
  <c r="O93" i="3"/>
  <c r="O111" i="3"/>
  <c r="N111" i="3"/>
  <c r="O128" i="3"/>
  <c r="N128" i="3"/>
  <c r="O134" i="3"/>
  <c r="N134" i="3"/>
  <c r="O145" i="3"/>
  <c r="N145" i="3"/>
  <c r="O155" i="3"/>
  <c r="N155" i="3"/>
  <c r="O102" i="2"/>
  <c r="N102" i="2"/>
  <c r="O111" i="2"/>
  <c r="N111" i="2"/>
  <c r="O136" i="2"/>
  <c r="N136" i="2"/>
  <c r="O189" i="2"/>
  <c r="N189" i="2"/>
  <c r="N112" i="3"/>
  <c r="O112" i="3"/>
  <c r="N146" i="3"/>
  <c r="O146" i="3"/>
  <c r="R25" i="4"/>
  <c r="R24" i="4"/>
  <c r="O51" i="2"/>
  <c r="N51" i="2"/>
  <c r="N24" i="2"/>
  <c r="O24" i="2"/>
  <c r="O32" i="2"/>
  <c r="N32" i="2"/>
  <c r="N37" i="2"/>
  <c r="O37" i="2"/>
  <c r="K39" i="2"/>
  <c r="M39" i="2" s="1"/>
  <c r="J78" i="2"/>
  <c r="K78" i="2" s="1"/>
  <c r="M78" i="2" s="1"/>
  <c r="O112" i="2"/>
  <c r="N112" i="2"/>
  <c r="I127" i="2"/>
  <c r="F124" i="2"/>
  <c r="E124" i="2"/>
  <c r="O146" i="2"/>
  <c r="N146" i="2"/>
  <c r="N154" i="2"/>
  <c r="O154" i="2"/>
  <c r="J180" i="2"/>
  <c r="K180" i="2" s="1"/>
  <c r="M180" i="2" s="1"/>
  <c r="O186" i="2"/>
  <c r="N186" i="2"/>
  <c r="O190" i="2"/>
  <c r="N190" i="2"/>
  <c r="N75" i="3"/>
  <c r="O75" i="3"/>
  <c r="N90" i="3"/>
  <c r="O90" i="3"/>
  <c r="O100" i="3"/>
  <c r="N100" i="3"/>
  <c r="N17" i="2"/>
  <c r="O17" i="2"/>
  <c r="O27" i="2"/>
  <c r="N27" i="2"/>
  <c r="O40" i="2"/>
  <c r="N40" i="2"/>
  <c r="I59" i="2"/>
  <c r="F56" i="2"/>
  <c r="E56" i="2"/>
  <c r="O52" i="2"/>
  <c r="N52" i="2"/>
  <c r="K59" i="2"/>
  <c r="M59" i="2" s="1"/>
  <c r="K63" i="2"/>
  <c r="L63" i="2" s="1"/>
  <c r="M65" i="2"/>
  <c r="O69" i="2"/>
  <c r="N69" i="2"/>
  <c r="O72" i="2"/>
  <c r="N72" i="2"/>
  <c r="N103" i="2"/>
  <c r="O103" i="2"/>
  <c r="K108" i="2"/>
  <c r="M108" i="2" s="1"/>
  <c r="N119" i="2"/>
  <c r="O119" i="2"/>
  <c r="O137" i="2"/>
  <c r="N137" i="2"/>
  <c r="O155" i="2"/>
  <c r="N155" i="2"/>
  <c r="N170" i="2"/>
  <c r="O170" i="2"/>
  <c r="O191" i="2"/>
  <c r="N191" i="2"/>
  <c r="O34" i="3"/>
  <c r="N34" i="3"/>
  <c r="N152" i="3"/>
  <c r="O152" i="3"/>
  <c r="O90" i="2"/>
  <c r="N90" i="2"/>
  <c r="N163" i="2"/>
  <c r="O163" i="2"/>
  <c r="O71" i="3"/>
  <c r="N71" i="3"/>
  <c r="O36" i="2"/>
  <c r="N36" i="2"/>
  <c r="O85" i="2"/>
  <c r="N85" i="2"/>
  <c r="O125" i="2"/>
  <c r="N125" i="2"/>
  <c r="O169" i="2"/>
  <c r="N169" i="2"/>
  <c r="N59" i="3"/>
  <c r="O59" i="3"/>
  <c r="O105" i="3"/>
  <c r="N105" i="3"/>
  <c r="N21" i="2"/>
  <c r="O21" i="2"/>
  <c r="O33" i="2"/>
  <c r="N33" i="2"/>
  <c r="O43" i="2"/>
  <c r="N43" i="2"/>
  <c r="E58" i="2"/>
  <c r="D58" i="2"/>
  <c r="J58" i="2"/>
  <c r="K58" i="2" s="1"/>
  <c r="M58" i="2" s="1"/>
  <c r="F58" i="2"/>
  <c r="O57" i="2"/>
  <c r="N57" i="2"/>
  <c r="N66" i="2"/>
  <c r="O66" i="2"/>
  <c r="N70" i="2"/>
  <c r="O70" i="2"/>
  <c r="N86" i="2"/>
  <c r="O86" i="2"/>
  <c r="O89" i="2"/>
  <c r="N89" i="2"/>
  <c r="G97" i="2"/>
  <c r="C107" i="2"/>
  <c r="O104" i="2"/>
  <c r="N104" i="2"/>
  <c r="N123" i="2"/>
  <c r="O123" i="2"/>
  <c r="O134" i="2"/>
  <c r="N134" i="2"/>
  <c r="N151" i="2"/>
  <c r="O151" i="2"/>
  <c r="N162" i="2"/>
  <c r="O162" i="2"/>
  <c r="N177" i="2"/>
  <c r="O177" i="2"/>
  <c r="O192" i="2"/>
  <c r="N192" i="2"/>
  <c r="O43" i="3"/>
  <c r="N43" i="3"/>
  <c r="O94" i="3"/>
  <c r="N94" i="3"/>
  <c r="O144" i="3"/>
  <c r="N144" i="3"/>
  <c r="K35" i="8"/>
  <c r="J35" i="8"/>
  <c r="K38" i="9"/>
  <c r="J38" i="9"/>
  <c r="N38" i="9" s="1"/>
  <c r="R70" i="17"/>
  <c r="R71" i="17" s="1"/>
  <c r="K21" i="18"/>
  <c r="J21" i="18"/>
  <c r="K31" i="20"/>
  <c r="J31" i="20"/>
  <c r="R70" i="78"/>
  <c r="R71" i="78"/>
  <c r="D24" i="2"/>
  <c r="F41" i="2"/>
  <c r="F73" i="2"/>
  <c r="J75" i="2"/>
  <c r="K75" i="2" s="1"/>
  <c r="M75" i="2" s="1"/>
  <c r="J93" i="2"/>
  <c r="K93" i="2" s="1"/>
  <c r="M93" i="2" s="1"/>
  <c r="I94" i="2"/>
  <c r="J94" i="2" s="1"/>
  <c r="K94" i="2" s="1"/>
  <c r="M94" i="2" s="1"/>
  <c r="C97" i="2"/>
  <c r="J107" i="2"/>
  <c r="K107" i="2" s="1"/>
  <c r="M107" i="2" s="1"/>
  <c r="G108" i="2"/>
  <c r="C109" i="2"/>
  <c r="J117" i="2"/>
  <c r="K117" i="2" s="1"/>
  <c r="M117" i="2" s="1"/>
  <c r="D126" i="2"/>
  <c r="J133" i="2"/>
  <c r="K133" i="2" s="1"/>
  <c r="N140" i="2"/>
  <c r="J159" i="2"/>
  <c r="F160" i="2"/>
  <c r="G175" i="2"/>
  <c r="D177" i="2"/>
  <c r="N19" i="3"/>
  <c r="O21" i="3"/>
  <c r="I26" i="3"/>
  <c r="J26" i="3" s="1"/>
  <c r="K26" i="3" s="1"/>
  <c r="M26" i="3" s="1"/>
  <c r="J25" i="3"/>
  <c r="O58" i="3"/>
  <c r="N85" i="3"/>
  <c r="K97" i="3"/>
  <c r="L97" i="3" s="1"/>
  <c r="N102" i="3"/>
  <c r="O118" i="3"/>
  <c r="N121" i="3"/>
  <c r="I127" i="3"/>
  <c r="F124" i="3"/>
  <c r="D126" i="3"/>
  <c r="O129" i="3"/>
  <c r="N138" i="3"/>
  <c r="G148" i="3"/>
  <c r="I161" i="3"/>
  <c r="F158" i="3"/>
  <c r="O160" i="3"/>
  <c r="N160" i="3"/>
  <c r="J177" i="3"/>
  <c r="K177" i="3" s="1"/>
  <c r="M177" i="3" s="1"/>
  <c r="F177" i="3"/>
  <c r="E177" i="3"/>
  <c r="D177" i="3"/>
  <c r="N170" i="3"/>
  <c r="O185" i="3"/>
  <c r="N185" i="3"/>
  <c r="O193" i="3"/>
  <c r="N193" i="3"/>
  <c r="R46" i="4"/>
  <c r="R25" i="7"/>
  <c r="R24" i="7"/>
  <c r="R47" i="7"/>
  <c r="R48" i="7" s="1"/>
  <c r="R71" i="7"/>
  <c r="R70" i="7"/>
  <c r="R93" i="7"/>
  <c r="R94" i="7" s="1"/>
  <c r="K25" i="8"/>
  <c r="J25" i="8"/>
  <c r="K43" i="8"/>
  <c r="J43" i="8"/>
  <c r="K51" i="8"/>
  <c r="J51" i="8"/>
  <c r="K59" i="8"/>
  <c r="J59" i="8"/>
  <c r="K22" i="9"/>
  <c r="J22" i="9"/>
  <c r="M22" i="9" s="1"/>
  <c r="K27" i="9"/>
  <c r="J27" i="9"/>
  <c r="N27" i="9" s="1"/>
  <c r="K49" i="9"/>
  <c r="J49" i="9"/>
  <c r="P49" i="9" s="1"/>
  <c r="G56" i="9"/>
  <c r="H56" i="9" s="1"/>
  <c r="I57" i="9"/>
  <c r="J65" i="9"/>
  <c r="K65" i="9"/>
  <c r="J18" i="10"/>
  <c r="K18" i="10"/>
  <c r="J38" i="10"/>
  <c r="K38" i="10"/>
  <c r="J13" i="11"/>
  <c r="J9" i="11" s="1"/>
  <c r="L51" i="11"/>
  <c r="I51" i="11" s="1"/>
  <c r="G34" i="12"/>
  <c r="H34" i="12" s="1"/>
  <c r="J34" i="12" s="1"/>
  <c r="K34" i="12" s="1"/>
  <c r="L34" i="12" s="1"/>
  <c r="J15" i="12"/>
  <c r="O21" i="13"/>
  <c r="N21" i="13"/>
  <c r="O30" i="13"/>
  <c r="N30" i="13"/>
  <c r="O38" i="14"/>
  <c r="N38" i="14"/>
  <c r="O46" i="14"/>
  <c r="N46" i="14"/>
  <c r="K14" i="18"/>
  <c r="J14" i="18"/>
  <c r="J22" i="18"/>
  <c r="K22" i="18"/>
  <c r="J30" i="18"/>
  <c r="K30" i="18"/>
  <c r="K27" i="19"/>
  <c r="J27" i="19"/>
  <c r="N27" i="19" s="1"/>
  <c r="J33" i="19"/>
  <c r="N33" i="19" s="1"/>
  <c r="K33" i="19"/>
  <c r="K43" i="19"/>
  <c r="J43" i="19"/>
  <c r="P43" i="19" s="1"/>
  <c r="K18" i="20"/>
  <c r="J18" i="20"/>
  <c r="K23" i="20"/>
  <c r="J23" i="20"/>
  <c r="K32" i="20"/>
  <c r="J32" i="20"/>
  <c r="K50" i="20"/>
  <c r="J50" i="20"/>
  <c r="L59" i="21"/>
  <c r="K59" i="21"/>
  <c r="L57" i="22"/>
  <c r="K57" i="22"/>
  <c r="O20" i="24"/>
  <c r="N20" i="24"/>
  <c r="O28" i="24"/>
  <c r="N28" i="24"/>
  <c r="K17" i="28"/>
  <c r="J17" i="28"/>
  <c r="K51" i="29"/>
  <c r="J51" i="29"/>
  <c r="O51" i="29" s="1"/>
  <c r="K15" i="30"/>
  <c r="J15" i="30"/>
  <c r="K27" i="30"/>
  <c r="J27" i="30"/>
  <c r="K44" i="39"/>
  <c r="J44" i="39"/>
  <c r="P44" i="39" s="1"/>
  <c r="G29" i="3"/>
  <c r="O154" i="3"/>
  <c r="N154" i="3"/>
  <c r="O192" i="3"/>
  <c r="N192" i="3"/>
  <c r="K50" i="8"/>
  <c r="J50" i="8"/>
  <c r="K48" i="9"/>
  <c r="J48" i="9"/>
  <c r="P48" i="9" s="1"/>
  <c r="K45" i="10"/>
  <c r="J45" i="10"/>
  <c r="O20" i="13"/>
  <c r="N20" i="13"/>
  <c r="O45" i="14"/>
  <c r="N45" i="14"/>
  <c r="R25" i="17"/>
  <c r="R24" i="17"/>
  <c r="R94" i="17"/>
  <c r="R93" i="17"/>
  <c r="K29" i="18"/>
  <c r="J29" i="18"/>
  <c r="J21" i="19"/>
  <c r="M21" i="19" s="1"/>
  <c r="K21" i="19"/>
  <c r="K26" i="19"/>
  <c r="J26" i="19"/>
  <c r="N26" i="19" s="1"/>
  <c r="K42" i="19"/>
  <c r="J42" i="19"/>
  <c r="P42" i="19" s="1"/>
  <c r="K65" i="19"/>
  <c r="J65" i="19"/>
  <c r="K26" i="20"/>
  <c r="J26" i="20"/>
  <c r="K49" i="20"/>
  <c r="J49" i="20"/>
  <c r="O19" i="24"/>
  <c r="N19" i="24"/>
  <c r="R24" i="25"/>
  <c r="R25" i="25" s="1"/>
  <c r="R47" i="25"/>
  <c r="R48" i="25" s="1"/>
  <c r="K19" i="30"/>
  <c r="J19" i="30"/>
  <c r="R24" i="36"/>
  <c r="R25" i="36" s="1"/>
  <c r="K47" i="38"/>
  <c r="J47" i="38"/>
  <c r="K51" i="39"/>
  <c r="J51" i="39"/>
  <c r="O51" i="39" s="1"/>
  <c r="E24" i="2"/>
  <c r="G73" i="2"/>
  <c r="G91" i="2"/>
  <c r="C92" i="2"/>
  <c r="E126" i="2"/>
  <c r="F143" i="2"/>
  <c r="K159" i="2"/>
  <c r="M159" i="2" s="1"/>
  <c r="E177" i="2"/>
  <c r="J22" i="3"/>
  <c r="G22" i="3"/>
  <c r="N35" i="3"/>
  <c r="O52" i="3"/>
  <c r="N52" i="3"/>
  <c r="K56" i="3"/>
  <c r="M56" i="3" s="1"/>
  <c r="N66" i="3"/>
  <c r="N74" i="3"/>
  <c r="J82" i="3"/>
  <c r="K82" i="3" s="1"/>
  <c r="J83" i="3"/>
  <c r="K83" i="3" s="1"/>
  <c r="M83" i="3" s="1"/>
  <c r="J92" i="3"/>
  <c r="K92" i="3" s="1"/>
  <c r="M92" i="3" s="1"/>
  <c r="M99" i="3"/>
  <c r="F126" i="3"/>
  <c r="K127" i="3"/>
  <c r="M127" i="3" s="1"/>
  <c r="E160" i="3"/>
  <c r="D160" i="3"/>
  <c r="K158" i="3"/>
  <c r="M158" i="3" s="1"/>
  <c r="O163" i="3"/>
  <c r="O174" i="3"/>
  <c r="N174" i="3"/>
  <c r="O186" i="3"/>
  <c r="N186" i="3"/>
  <c r="O194" i="3"/>
  <c r="N194" i="3"/>
  <c r="I12" i="8"/>
  <c r="K31" i="8"/>
  <c r="J31" i="8"/>
  <c r="K36" i="8"/>
  <c r="J36" i="8"/>
  <c r="K44" i="8"/>
  <c r="J44" i="8"/>
  <c r="K52" i="8"/>
  <c r="J52" i="8"/>
  <c r="K60" i="8"/>
  <c r="J60" i="8"/>
  <c r="K13" i="9"/>
  <c r="J13" i="9"/>
  <c r="I12" i="9"/>
  <c r="K23" i="9"/>
  <c r="J23" i="9"/>
  <c r="M23" i="9" s="1"/>
  <c r="K28" i="9"/>
  <c r="J28" i="9"/>
  <c r="N28" i="9" s="1"/>
  <c r="K34" i="9"/>
  <c r="J34" i="9"/>
  <c r="N34" i="9" s="1"/>
  <c r="J50" i="9"/>
  <c r="O50" i="9" s="1"/>
  <c r="K50" i="9"/>
  <c r="K58" i="9"/>
  <c r="J58" i="9"/>
  <c r="K66" i="9"/>
  <c r="J66" i="9"/>
  <c r="C73" i="9" s="1"/>
  <c r="K19" i="10"/>
  <c r="J19" i="10"/>
  <c r="K24" i="10"/>
  <c r="J24" i="10"/>
  <c r="K29" i="10"/>
  <c r="J29" i="10"/>
  <c r="K39" i="10"/>
  <c r="J39" i="10"/>
  <c r="K51" i="10"/>
  <c r="J51" i="10"/>
  <c r="O22" i="13"/>
  <c r="N22" i="13"/>
  <c r="O31" i="13"/>
  <c r="N31" i="13"/>
  <c r="O30" i="14"/>
  <c r="N30" i="14"/>
  <c r="O39" i="14"/>
  <c r="N39" i="14"/>
  <c r="K15" i="18"/>
  <c r="J15" i="18"/>
  <c r="K23" i="18"/>
  <c r="J23" i="18"/>
  <c r="K31" i="18"/>
  <c r="J31" i="18"/>
  <c r="K28" i="19"/>
  <c r="J28" i="19"/>
  <c r="N28" i="19" s="1"/>
  <c r="J44" i="19"/>
  <c r="P44" i="19" s="1"/>
  <c r="K44" i="19"/>
  <c r="K61" i="19"/>
  <c r="J61" i="19"/>
  <c r="K24" i="20"/>
  <c r="J24" i="20"/>
  <c r="K27" i="20"/>
  <c r="J27" i="20"/>
  <c r="K33" i="20"/>
  <c r="J33" i="20"/>
  <c r="K38" i="20"/>
  <c r="J38" i="20"/>
  <c r="K45" i="20"/>
  <c r="J45" i="20"/>
  <c r="L52" i="21"/>
  <c r="K52" i="21"/>
  <c r="J51" i="21"/>
  <c r="L60" i="21"/>
  <c r="K60" i="21"/>
  <c r="L58" i="22"/>
  <c r="K58" i="22"/>
  <c r="O21" i="24"/>
  <c r="N21" i="24"/>
  <c r="R24" i="26"/>
  <c r="R25" i="26" s="1"/>
  <c r="R71" i="26"/>
  <c r="R70" i="26"/>
  <c r="K19" i="29"/>
  <c r="J19" i="29"/>
  <c r="M19" i="29" s="1"/>
  <c r="K32" i="30"/>
  <c r="J32" i="30"/>
  <c r="K44" i="30"/>
  <c r="J44" i="30"/>
  <c r="O20" i="34"/>
  <c r="N20" i="34"/>
  <c r="R24" i="37"/>
  <c r="R25" i="37" s="1"/>
  <c r="R94" i="37"/>
  <c r="R93" i="37"/>
  <c r="K18" i="39"/>
  <c r="J18" i="39"/>
  <c r="M18" i="39" s="1"/>
  <c r="K22" i="39"/>
  <c r="J22" i="39"/>
  <c r="M22" i="39" s="1"/>
  <c r="L54" i="42"/>
  <c r="K54" i="42"/>
  <c r="O188" i="2"/>
  <c r="N188" i="2"/>
  <c r="M63" i="3"/>
  <c r="O65" i="3"/>
  <c r="O63" i="3" s="1"/>
  <c r="N65" i="3"/>
  <c r="N63" i="3" s="1"/>
  <c r="O180" i="3"/>
  <c r="N180" i="3"/>
  <c r="K42" i="8"/>
  <c r="J42" i="8"/>
  <c r="K17" i="9"/>
  <c r="J17" i="9"/>
  <c r="M17" i="9" s="1"/>
  <c r="K54" i="9"/>
  <c r="J54" i="9"/>
  <c r="O54" i="9" s="1"/>
  <c r="O37" i="13"/>
  <c r="N37" i="13"/>
  <c r="R47" i="17"/>
  <c r="R48" i="17" s="1"/>
  <c r="K48" i="19"/>
  <c r="J48" i="19"/>
  <c r="P48" i="19" s="1"/>
  <c r="R93" i="36"/>
  <c r="R94" i="36" s="1"/>
  <c r="K61" i="38"/>
  <c r="J61" i="38"/>
  <c r="K45" i="40"/>
  <c r="J45" i="40"/>
  <c r="F24" i="2"/>
  <c r="J41" i="2"/>
  <c r="K41" i="2" s="1"/>
  <c r="M41" i="2" s="1"/>
  <c r="G56" i="2"/>
  <c r="J76" i="2"/>
  <c r="K76" i="2" s="1"/>
  <c r="M76" i="2" s="1"/>
  <c r="I77" i="2"/>
  <c r="J77" i="2" s="1"/>
  <c r="K77" i="2" s="1"/>
  <c r="M77" i="2" s="1"/>
  <c r="C80" i="2"/>
  <c r="J108" i="2"/>
  <c r="F126" i="2"/>
  <c r="J160" i="2"/>
  <c r="K160" i="2" s="1"/>
  <c r="M160" i="2" s="1"/>
  <c r="C165" i="2"/>
  <c r="F177" i="2"/>
  <c r="I27" i="3"/>
  <c r="J27" i="3" s="1"/>
  <c r="K27" i="3" s="1"/>
  <c r="M27" i="3" s="1"/>
  <c r="C29" i="3"/>
  <c r="C41" i="3"/>
  <c r="K42" i="3"/>
  <c r="M42" i="3" s="1"/>
  <c r="O77" i="3"/>
  <c r="N77" i="3"/>
  <c r="E124" i="3"/>
  <c r="K131" i="3"/>
  <c r="L131" i="3" s="1"/>
  <c r="O139" i="3"/>
  <c r="N139" i="3"/>
  <c r="E158" i="3"/>
  <c r="K165" i="3"/>
  <c r="L165" i="3" s="1"/>
  <c r="O176" i="3"/>
  <c r="N176" i="3"/>
  <c r="O178" i="3"/>
  <c r="N178" i="3"/>
  <c r="O187" i="3"/>
  <c r="N187" i="3"/>
  <c r="O195" i="3"/>
  <c r="N195" i="3"/>
  <c r="K21" i="8"/>
  <c r="J21" i="8"/>
  <c r="K37" i="8"/>
  <c r="J37" i="8"/>
  <c r="K45" i="8"/>
  <c r="J45" i="8"/>
  <c r="K53" i="8"/>
  <c r="J53" i="8"/>
  <c r="K61" i="8"/>
  <c r="J61" i="8"/>
  <c r="K14" i="9"/>
  <c r="J14" i="9"/>
  <c r="M14" i="9" s="1"/>
  <c r="K29" i="9"/>
  <c r="J29" i="9"/>
  <c r="N29" i="9" s="1"/>
  <c r="K35" i="9"/>
  <c r="J35" i="9"/>
  <c r="N35" i="9" s="1"/>
  <c r="K45" i="9"/>
  <c r="J45" i="9"/>
  <c r="P45" i="9" s="1"/>
  <c r="J59" i="9"/>
  <c r="K59" i="9"/>
  <c r="G13" i="10"/>
  <c r="I14" i="10"/>
  <c r="K30" i="10"/>
  <c r="J30" i="10"/>
  <c r="K52" i="10"/>
  <c r="J52" i="10"/>
  <c r="O15" i="13"/>
  <c r="N15" i="13"/>
  <c r="O23" i="13"/>
  <c r="N23" i="13"/>
  <c r="O32" i="13"/>
  <c r="N32" i="13"/>
  <c r="O31" i="14"/>
  <c r="N31" i="14"/>
  <c r="O40" i="14"/>
  <c r="N40" i="14"/>
  <c r="K16" i="18"/>
  <c r="J16" i="18"/>
  <c r="J24" i="18"/>
  <c r="K24" i="18"/>
  <c r="J32" i="18"/>
  <c r="K32" i="18"/>
  <c r="G12" i="19"/>
  <c r="I13" i="19"/>
  <c r="G9" i="19"/>
  <c r="H12" i="19"/>
  <c r="K29" i="19"/>
  <c r="J29" i="19"/>
  <c r="N29" i="19" s="1"/>
  <c r="K39" i="19"/>
  <c r="J39" i="19"/>
  <c r="N39" i="19" s="1"/>
  <c r="G56" i="19"/>
  <c r="H56" i="19" s="1"/>
  <c r="I57" i="19"/>
  <c r="K19" i="20"/>
  <c r="J19" i="20"/>
  <c r="J28" i="20"/>
  <c r="K28" i="20"/>
  <c r="K34" i="20"/>
  <c r="J34" i="20"/>
  <c r="I46" i="20"/>
  <c r="G43" i="20"/>
  <c r="H43" i="20" s="1"/>
  <c r="L61" i="21"/>
  <c r="K61" i="21"/>
  <c r="L59" i="22"/>
  <c r="K59" i="22"/>
  <c r="O22" i="24"/>
  <c r="N22" i="24"/>
  <c r="L53" i="31"/>
  <c r="K53" i="31"/>
  <c r="K37" i="38"/>
  <c r="J37" i="38"/>
  <c r="J19" i="39"/>
  <c r="M19" i="39" s="1"/>
  <c r="K19" i="39"/>
  <c r="K30" i="39"/>
  <c r="J30" i="39"/>
  <c r="N30" i="39" s="1"/>
  <c r="I180" i="2"/>
  <c r="I179" i="2"/>
  <c r="J179" i="2" s="1"/>
  <c r="K179" i="2" s="1"/>
  <c r="M179" i="2" s="1"/>
  <c r="J178" i="2"/>
  <c r="O196" i="2"/>
  <c r="N196" i="2"/>
  <c r="F75" i="3"/>
  <c r="E75" i="3"/>
  <c r="D75" i="3"/>
  <c r="O86" i="3"/>
  <c r="N86" i="3"/>
  <c r="J116" i="3"/>
  <c r="K116" i="3" s="1"/>
  <c r="J117" i="3"/>
  <c r="K117" i="3" s="1"/>
  <c r="M117" i="3" s="1"/>
  <c r="J126" i="3"/>
  <c r="K126" i="3" s="1"/>
  <c r="M126" i="3" s="1"/>
  <c r="M131" i="3"/>
  <c r="O133" i="3"/>
  <c r="N133" i="3"/>
  <c r="M165" i="3"/>
  <c r="O167" i="3"/>
  <c r="N167" i="3"/>
  <c r="O175" i="3"/>
  <c r="N175" i="3"/>
  <c r="K182" i="3"/>
  <c r="M183" i="3"/>
  <c r="O188" i="3"/>
  <c r="N188" i="3"/>
  <c r="O196" i="3"/>
  <c r="N196" i="3"/>
  <c r="R24" i="5"/>
  <c r="R25" i="5" s="1"/>
  <c r="R3" i="5" s="1"/>
  <c r="V5" i="5" s="1"/>
  <c r="R48" i="5"/>
  <c r="R47" i="5"/>
  <c r="K27" i="8"/>
  <c r="J27" i="8"/>
  <c r="K38" i="8"/>
  <c r="J38" i="8"/>
  <c r="K46" i="8"/>
  <c r="J46" i="8"/>
  <c r="K54" i="8"/>
  <c r="J54" i="8"/>
  <c r="K62" i="8"/>
  <c r="J62" i="8"/>
  <c r="J19" i="9"/>
  <c r="M19" i="9" s="1"/>
  <c r="K19" i="9"/>
  <c r="K30" i="9"/>
  <c r="J30" i="9"/>
  <c r="N30" i="9" s="1"/>
  <c r="K40" i="9"/>
  <c r="J40" i="9"/>
  <c r="P40" i="9" s="1"/>
  <c r="K46" i="9"/>
  <c r="J46" i="9"/>
  <c r="P46" i="9" s="1"/>
  <c r="K60" i="9"/>
  <c r="J60" i="9"/>
  <c r="K15" i="10"/>
  <c r="J15" i="10"/>
  <c r="K25" i="10"/>
  <c r="J25" i="10"/>
  <c r="K31" i="10"/>
  <c r="J31" i="10"/>
  <c r="G43" i="10"/>
  <c r="H43" i="10" s="1"/>
  <c r="I47" i="10"/>
  <c r="K53" i="10"/>
  <c r="J53" i="10"/>
  <c r="O16" i="13"/>
  <c r="N16" i="13"/>
  <c r="M27" i="13"/>
  <c r="K26" i="13"/>
  <c r="L26" i="13" s="1"/>
  <c r="O33" i="13"/>
  <c r="N33" i="13"/>
  <c r="O32" i="14"/>
  <c r="N32" i="14"/>
  <c r="O41" i="14"/>
  <c r="N41" i="14"/>
  <c r="R24" i="15"/>
  <c r="R25" i="15" s="1"/>
  <c r="R3" i="15" s="1"/>
  <c r="V5" i="15" s="1"/>
  <c r="R47" i="15"/>
  <c r="R48" i="15" s="1"/>
  <c r="K17" i="18"/>
  <c r="J17" i="18"/>
  <c r="K25" i="18"/>
  <c r="J25" i="18"/>
  <c r="K33" i="18"/>
  <c r="J33" i="18"/>
  <c r="J18" i="19"/>
  <c r="M18" i="19" s="1"/>
  <c r="K18" i="19"/>
  <c r="K40" i="19"/>
  <c r="J40" i="19"/>
  <c r="P40" i="19" s="1"/>
  <c r="K50" i="19"/>
  <c r="J50" i="19"/>
  <c r="O50" i="19" s="1"/>
  <c r="G13" i="20"/>
  <c r="J20" i="20"/>
  <c r="K20" i="20"/>
  <c r="K29" i="20"/>
  <c r="J29" i="20"/>
  <c r="J35" i="20"/>
  <c r="K35" i="20"/>
  <c r="K39" i="20"/>
  <c r="J39" i="20"/>
  <c r="K47" i="20"/>
  <c r="J47" i="20"/>
  <c r="L54" i="21"/>
  <c r="K54" i="21"/>
  <c r="L60" i="22"/>
  <c r="K60" i="22"/>
  <c r="O15" i="24"/>
  <c r="N15" i="24"/>
  <c r="O23" i="24"/>
  <c r="N23" i="24"/>
  <c r="K35" i="24"/>
  <c r="L35" i="24" s="1"/>
  <c r="M36" i="24"/>
  <c r="R24" i="27"/>
  <c r="R25" i="27" s="1"/>
  <c r="R70" i="27"/>
  <c r="R71" i="27" s="1"/>
  <c r="K38" i="30"/>
  <c r="J38" i="30"/>
  <c r="O22" i="34"/>
  <c r="N22" i="34"/>
  <c r="N37" i="34"/>
  <c r="O37" i="34"/>
  <c r="O35" i="34" s="1"/>
  <c r="R47" i="57"/>
  <c r="R48" i="57" s="1"/>
  <c r="R70" i="57"/>
  <c r="R71" i="57" s="1"/>
  <c r="O110" i="3"/>
  <c r="N110" i="3"/>
  <c r="F143" i="3"/>
  <c r="E143" i="3"/>
  <c r="K19" i="8"/>
  <c r="J19" i="8"/>
  <c r="K66" i="8"/>
  <c r="J66" i="8"/>
  <c r="K64" i="9"/>
  <c r="J64" i="9"/>
  <c r="K23" i="10"/>
  <c r="J23" i="10"/>
  <c r="K37" i="10"/>
  <c r="J37" i="10"/>
  <c r="K50" i="10"/>
  <c r="J50" i="10"/>
  <c r="O29" i="13"/>
  <c r="N29" i="13"/>
  <c r="K59" i="18"/>
  <c r="J59" i="18"/>
  <c r="K32" i="19"/>
  <c r="J32" i="19"/>
  <c r="N32" i="19" s="1"/>
  <c r="K44" i="20"/>
  <c r="J44" i="20"/>
  <c r="G33" i="21"/>
  <c r="H33" i="21" s="1"/>
  <c r="J33" i="21" s="1"/>
  <c r="K33" i="21" s="1"/>
  <c r="L33" i="21" s="1"/>
  <c r="J15" i="21"/>
  <c r="L58" i="21"/>
  <c r="K58" i="21"/>
  <c r="L56" i="22"/>
  <c r="K56" i="22"/>
  <c r="O27" i="24"/>
  <c r="N27" i="24"/>
  <c r="G106" i="2"/>
  <c r="J42" i="2"/>
  <c r="K42" i="2" s="1"/>
  <c r="M42" i="2" s="1"/>
  <c r="C46" i="2"/>
  <c r="J56" i="2"/>
  <c r="D75" i="2"/>
  <c r="O142" i="2"/>
  <c r="J144" i="2"/>
  <c r="K144" i="2" s="1"/>
  <c r="M144" i="2" s="1"/>
  <c r="M183" i="2"/>
  <c r="N193" i="2"/>
  <c r="O18" i="3"/>
  <c r="G21" i="3"/>
  <c r="N33" i="3"/>
  <c r="O50" i="3"/>
  <c r="N53" i="3"/>
  <c r="I59" i="3"/>
  <c r="F56" i="3"/>
  <c r="D58" i="3"/>
  <c r="N70" i="3"/>
  <c r="G80" i="3"/>
  <c r="N91" i="3"/>
  <c r="N103" i="3"/>
  <c r="O107" i="3"/>
  <c r="N153" i="3"/>
  <c r="O156" i="3"/>
  <c r="N159" i="3"/>
  <c r="N168" i="3"/>
  <c r="O172" i="3"/>
  <c r="N172" i="3"/>
  <c r="O189" i="3"/>
  <c r="N189" i="3"/>
  <c r="O197" i="3"/>
  <c r="N197" i="3"/>
  <c r="K33" i="8"/>
  <c r="J33" i="8"/>
  <c r="K39" i="8"/>
  <c r="J39" i="8"/>
  <c r="K47" i="8"/>
  <c r="J47" i="8"/>
  <c r="G56" i="8"/>
  <c r="I57" i="8"/>
  <c r="K63" i="8"/>
  <c r="J63" i="8"/>
  <c r="J31" i="9"/>
  <c r="N31" i="9" s="1"/>
  <c r="K31" i="9"/>
  <c r="K41" i="9"/>
  <c r="J41" i="9"/>
  <c r="P41" i="9" s="1"/>
  <c r="J61" i="9"/>
  <c r="K61" i="9"/>
  <c r="J26" i="10"/>
  <c r="K26" i="10"/>
  <c r="K48" i="10"/>
  <c r="J48" i="10"/>
  <c r="K54" i="10"/>
  <c r="J54" i="10"/>
  <c r="O17" i="13"/>
  <c r="N17" i="13"/>
  <c r="O34" i="13"/>
  <c r="N34" i="13"/>
  <c r="M36" i="14"/>
  <c r="K35" i="14"/>
  <c r="L35" i="14" s="1"/>
  <c r="O42" i="14"/>
  <c r="N42" i="14"/>
  <c r="J18" i="18"/>
  <c r="K18" i="18"/>
  <c r="J26" i="18"/>
  <c r="K26" i="18"/>
  <c r="J34" i="18"/>
  <c r="K34" i="18"/>
  <c r="K24" i="19"/>
  <c r="J24" i="19"/>
  <c r="M24" i="19" s="1"/>
  <c r="K51" i="19"/>
  <c r="J51" i="19"/>
  <c r="O51" i="19" s="1"/>
  <c r="K63" i="19"/>
  <c r="J63" i="19"/>
  <c r="K21" i="20"/>
  <c r="J21" i="20"/>
  <c r="K36" i="20"/>
  <c r="J36" i="20"/>
  <c r="J40" i="20"/>
  <c r="K40" i="20"/>
  <c r="L55" i="21"/>
  <c r="K55" i="21"/>
  <c r="G34" i="22"/>
  <c r="H34" i="22" s="1"/>
  <c r="J34" i="22" s="1"/>
  <c r="K34" i="22" s="1"/>
  <c r="L34" i="22" s="1"/>
  <c r="L61" i="22"/>
  <c r="K61" i="22"/>
  <c r="O16" i="24"/>
  <c r="N16" i="24"/>
  <c r="O24" i="24"/>
  <c r="N24" i="24"/>
  <c r="O37" i="24"/>
  <c r="O35" i="24" s="1"/>
  <c r="N37" i="24"/>
  <c r="I9" i="28"/>
  <c r="K32" i="29"/>
  <c r="J32" i="29"/>
  <c r="N32" i="29" s="1"/>
  <c r="L55" i="31"/>
  <c r="K55" i="31"/>
  <c r="O16" i="34"/>
  <c r="N16" i="34"/>
  <c r="K51" i="38"/>
  <c r="J51" i="38"/>
  <c r="K65" i="38"/>
  <c r="J65" i="38"/>
  <c r="K15" i="39"/>
  <c r="J15" i="39"/>
  <c r="M15" i="39" s="1"/>
  <c r="K56" i="2"/>
  <c r="M56" i="2" s="1"/>
  <c r="F165" i="2"/>
  <c r="C175" i="2" s="1"/>
  <c r="K175" i="2" s="1"/>
  <c r="M175" i="2" s="1"/>
  <c r="O37" i="3"/>
  <c r="N37" i="3"/>
  <c r="O76" i="3"/>
  <c r="N76" i="3"/>
  <c r="F109" i="3"/>
  <c r="E109" i="3"/>
  <c r="D109" i="3"/>
  <c r="O120" i="3"/>
  <c r="N120" i="3"/>
  <c r="J150" i="3"/>
  <c r="K150" i="3" s="1"/>
  <c r="J151" i="3"/>
  <c r="K151" i="3" s="1"/>
  <c r="M151" i="3" s="1"/>
  <c r="O169" i="3"/>
  <c r="N169" i="3"/>
  <c r="O173" i="3"/>
  <c r="N173" i="3"/>
  <c r="O184" i="3"/>
  <c r="N184" i="3"/>
  <c r="O190" i="3"/>
  <c r="N190" i="3"/>
  <c r="R25" i="6"/>
  <c r="R24" i="6"/>
  <c r="R47" i="6"/>
  <c r="R48" i="6" s="1"/>
  <c r="K23" i="8"/>
  <c r="J23" i="8"/>
  <c r="K40" i="8"/>
  <c r="J40" i="8"/>
  <c r="K48" i="8"/>
  <c r="J48" i="8"/>
  <c r="K64" i="8"/>
  <c r="J64" i="8"/>
  <c r="K25" i="9"/>
  <c r="J25" i="9"/>
  <c r="N25" i="9" s="1"/>
  <c r="J42" i="9"/>
  <c r="P42" i="9" s="1"/>
  <c r="K42" i="9"/>
  <c r="K62" i="9"/>
  <c r="J62" i="9"/>
  <c r="K21" i="10"/>
  <c r="J21" i="10"/>
  <c r="K27" i="10"/>
  <c r="J27" i="10"/>
  <c r="K41" i="10"/>
  <c r="J41" i="10"/>
  <c r="K49" i="10"/>
  <c r="J49" i="10"/>
  <c r="K55" i="10"/>
  <c r="J55" i="10"/>
  <c r="O18" i="13"/>
  <c r="N18" i="13"/>
  <c r="O28" i="13"/>
  <c r="N28" i="13"/>
  <c r="O35" i="13"/>
  <c r="N35" i="13"/>
  <c r="O43" i="14"/>
  <c r="N43" i="14"/>
  <c r="R25" i="16"/>
  <c r="R24" i="16"/>
  <c r="R48" i="16"/>
  <c r="R47" i="16"/>
  <c r="R70" i="16"/>
  <c r="R71" i="16" s="1"/>
  <c r="R94" i="16"/>
  <c r="R93" i="16"/>
  <c r="K19" i="18"/>
  <c r="J19" i="18"/>
  <c r="K27" i="18"/>
  <c r="J27" i="18"/>
  <c r="K35" i="18"/>
  <c r="J35" i="18"/>
  <c r="G56" i="18"/>
  <c r="H56" i="18" s="1"/>
  <c r="K19" i="19"/>
  <c r="J19" i="19"/>
  <c r="M19" i="19" s="1"/>
  <c r="K25" i="19"/>
  <c r="J25" i="19"/>
  <c r="N25" i="19" s="1"/>
  <c r="J36" i="19"/>
  <c r="N36" i="19" s="1"/>
  <c r="K36" i="19"/>
  <c r="J52" i="19"/>
  <c r="O52" i="19" s="1"/>
  <c r="K52" i="19"/>
  <c r="K15" i="20"/>
  <c r="J15" i="20"/>
  <c r="K41" i="20"/>
  <c r="J41" i="20"/>
  <c r="L56" i="21"/>
  <c r="K56" i="21"/>
  <c r="L54" i="22"/>
  <c r="K54" i="22"/>
  <c r="L62" i="22"/>
  <c r="K62" i="22"/>
  <c r="O12" i="23"/>
  <c r="K26" i="23"/>
  <c r="M27" i="23"/>
  <c r="O17" i="24"/>
  <c r="N17" i="24"/>
  <c r="O25" i="24"/>
  <c r="N25" i="24"/>
  <c r="O30" i="24"/>
  <c r="N30" i="24"/>
  <c r="K39" i="30"/>
  <c r="J39" i="30"/>
  <c r="J50" i="30"/>
  <c r="K50" i="30"/>
  <c r="N28" i="33"/>
  <c r="O28" i="33"/>
  <c r="O26" i="33" s="1"/>
  <c r="R47" i="35"/>
  <c r="R48" i="35" s="1"/>
  <c r="K16" i="39"/>
  <c r="J16" i="39"/>
  <c r="M16" i="39" s="1"/>
  <c r="J27" i="39"/>
  <c r="N27" i="39" s="1"/>
  <c r="N12" i="39" s="1"/>
  <c r="C70" i="39" s="1"/>
  <c r="K27" i="39"/>
  <c r="J30" i="40"/>
  <c r="K30" i="40"/>
  <c r="K39" i="3"/>
  <c r="M39" i="3" s="1"/>
  <c r="J48" i="3"/>
  <c r="K48" i="3" s="1"/>
  <c r="J49" i="3"/>
  <c r="K49" i="3" s="1"/>
  <c r="M49" i="3" s="1"/>
  <c r="D143" i="3"/>
  <c r="O157" i="3"/>
  <c r="N157" i="3"/>
  <c r="J127" i="2"/>
  <c r="K127" i="2" s="1"/>
  <c r="M127" i="2" s="1"/>
  <c r="I128" i="2"/>
  <c r="J128" i="2" s="1"/>
  <c r="K128" i="2" s="1"/>
  <c r="M128" i="2" s="1"/>
  <c r="J158" i="2"/>
  <c r="K158" i="2" s="1"/>
  <c r="M158" i="2" s="1"/>
  <c r="N197" i="2"/>
  <c r="F12" i="3"/>
  <c r="C22" i="3" s="1"/>
  <c r="C12" i="3"/>
  <c r="C24" i="3"/>
  <c r="N51" i="3"/>
  <c r="K63" i="3"/>
  <c r="L63" i="3" s="1"/>
  <c r="N68" i="3"/>
  <c r="O84" i="3"/>
  <c r="N87" i="3"/>
  <c r="I93" i="3"/>
  <c r="F90" i="3"/>
  <c r="D92" i="3"/>
  <c r="N104" i="3"/>
  <c r="G114" i="3"/>
  <c r="N125" i="3"/>
  <c r="N137" i="3"/>
  <c r="O141" i="3"/>
  <c r="O161" i="3"/>
  <c r="O179" i="3"/>
  <c r="N179" i="3"/>
  <c r="O191" i="3"/>
  <c r="N191" i="3"/>
  <c r="R71" i="6"/>
  <c r="R70" i="6"/>
  <c r="R93" i="6"/>
  <c r="R94" i="6" s="1"/>
  <c r="K29" i="8"/>
  <c r="J29" i="8"/>
  <c r="K41" i="8"/>
  <c r="J41" i="8"/>
  <c r="K49" i="8"/>
  <c r="J49" i="8"/>
  <c r="K65" i="8"/>
  <c r="J65" i="8"/>
  <c r="K16" i="9"/>
  <c r="J16" i="9"/>
  <c r="M16" i="9" s="1"/>
  <c r="K26" i="9"/>
  <c r="J26" i="9"/>
  <c r="N26" i="9" s="1"/>
  <c r="K37" i="9"/>
  <c r="J37" i="9"/>
  <c r="N37" i="9" s="1"/>
  <c r="K53" i="9"/>
  <c r="J53" i="9"/>
  <c r="O53" i="9" s="1"/>
  <c r="J63" i="9"/>
  <c r="K63" i="9"/>
  <c r="K22" i="10"/>
  <c r="J22" i="10"/>
  <c r="K36" i="10"/>
  <c r="J36" i="10"/>
  <c r="J44" i="10"/>
  <c r="K44" i="10"/>
  <c r="O19" i="13"/>
  <c r="N19" i="13"/>
  <c r="O36" i="13"/>
  <c r="N36" i="13"/>
  <c r="O37" i="14"/>
  <c r="N37" i="14"/>
  <c r="O44" i="14"/>
  <c r="N44" i="14"/>
  <c r="J20" i="18"/>
  <c r="K20" i="18"/>
  <c r="J28" i="18"/>
  <c r="K28" i="18"/>
  <c r="K36" i="18"/>
  <c r="J36" i="18"/>
  <c r="J58" i="18"/>
  <c r="K58" i="18"/>
  <c r="J15" i="19"/>
  <c r="M15" i="19" s="1"/>
  <c r="K15" i="19"/>
  <c r="K20" i="19"/>
  <c r="J20" i="19"/>
  <c r="M20" i="19" s="1"/>
  <c r="K31" i="19"/>
  <c r="J31" i="19"/>
  <c r="N31" i="19" s="1"/>
  <c r="K47" i="19"/>
  <c r="J47" i="19"/>
  <c r="P47" i="19" s="1"/>
  <c r="K59" i="19"/>
  <c r="J59" i="19"/>
  <c r="I16" i="20"/>
  <c r="G10" i="20"/>
  <c r="L57" i="21"/>
  <c r="K57" i="21"/>
  <c r="L55" i="22"/>
  <c r="K55" i="22"/>
  <c r="O28" i="23"/>
  <c r="O26" i="23" s="1"/>
  <c r="N28" i="23"/>
  <c r="O18" i="24"/>
  <c r="N18" i="24"/>
  <c r="O26" i="24"/>
  <c r="N26" i="24"/>
  <c r="K15" i="28"/>
  <c r="J15" i="28"/>
  <c r="L55" i="32"/>
  <c r="K55" i="32"/>
  <c r="K53" i="38"/>
  <c r="J53" i="38"/>
  <c r="K48" i="40"/>
  <c r="J48" i="40"/>
  <c r="K39" i="29"/>
  <c r="J39" i="29"/>
  <c r="N39" i="29" s="1"/>
  <c r="K50" i="29"/>
  <c r="J50" i="29"/>
  <c r="O50" i="29" s="1"/>
  <c r="I56" i="29"/>
  <c r="K57" i="29"/>
  <c r="K34" i="30"/>
  <c r="J34" i="30"/>
  <c r="K45" i="30"/>
  <c r="J45" i="30"/>
  <c r="G33" i="31"/>
  <c r="H33" i="31" s="1"/>
  <c r="J33" i="31" s="1"/>
  <c r="K33" i="31" s="1"/>
  <c r="L33" i="31" s="1"/>
  <c r="H13" i="31"/>
  <c r="J15" i="31"/>
  <c r="H51" i="31"/>
  <c r="J52" i="31"/>
  <c r="L57" i="31"/>
  <c r="K57" i="31"/>
  <c r="J16" i="32"/>
  <c r="K16" i="32" s="1"/>
  <c r="L16" i="32" s="1"/>
  <c r="G34" i="32"/>
  <c r="H34" i="32" s="1"/>
  <c r="J34" i="32" s="1"/>
  <c r="K34" i="32" s="1"/>
  <c r="L34" i="32" s="1"/>
  <c r="L57" i="32"/>
  <c r="K57" i="32"/>
  <c r="K9" i="34"/>
  <c r="O19" i="34"/>
  <c r="N19" i="34"/>
  <c r="O24" i="34"/>
  <c r="N24" i="34"/>
  <c r="R71" i="36"/>
  <c r="K22" i="38"/>
  <c r="J22" i="38"/>
  <c r="K39" i="38"/>
  <c r="J39" i="38"/>
  <c r="K50" i="38"/>
  <c r="J50" i="38"/>
  <c r="K64" i="38"/>
  <c r="J64" i="38"/>
  <c r="K43" i="39"/>
  <c r="J43" i="39"/>
  <c r="P43" i="39" s="1"/>
  <c r="K53" i="39"/>
  <c r="J53" i="39"/>
  <c r="O53" i="39" s="1"/>
  <c r="K60" i="39"/>
  <c r="J60" i="39"/>
  <c r="O16" i="43"/>
  <c r="N16" i="43"/>
  <c r="O18" i="44"/>
  <c r="N18" i="44"/>
  <c r="O26" i="44"/>
  <c r="N26" i="44"/>
  <c r="R25" i="46"/>
  <c r="R24" i="46"/>
  <c r="R47" i="48"/>
  <c r="R48" i="48" s="1"/>
  <c r="K15" i="49"/>
  <c r="J15" i="49"/>
  <c r="K39" i="49"/>
  <c r="J39" i="49"/>
  <c r="K34" i="50"/>
  <c r="J34" i="50"/>
  <c r="N34" i="50" s="1"/>
  <c r="J49" i="50"/>
  <c r="P49" i="50" s="1"/>
  <c r="K49" i="50"/>
  <c r="G43" i="51"/>
  <c r="H43" i="51" s="1"/>
  <c r="I46" i="51"/>
  <c r="K17" i="52"/>
  <c r="L17" i="52" s="1"/>
  <c r="J52" i="52"/>
  <c r="H51" i="52"/>
  <c r="G34" i="53"/>
  <c r="H34" i="53" s="1"/>
  <c r="J34" i="53" s="1"/>
  <c r="K34" i="53" s="1"/>
  <c r="L34" i="53" s="1"/>
  <c r="J15" i="53"/>
  <c r="H13" i="53"/>
  <c r="L57" i="53"/>
  <c r="K57" i="53"/>
  <c r="O34" i="54"/>
  <c r="N34" i="54"/>
  <c r="O42" i="55"/>
  <c r="N42" i="55"/>
  <c r="J60" i="59"/>
  <c r="K60" i="59"/>
  <c r="R25" i="66"/>
  <c r="R24" i="66"/>
  <c r="R48" i="66"/>
  <c r="R47" i="66"/>
  <c r="K23" i="3"/>
  <c r="M23" i="3" s="1"/>
  <c r="J18" i="8"/>
  <c r="J20" i="8"/>
  <c r="J22" i="8"/>
  <c r="J24" i="8"/>
  <c r="J26" i="8"/>
  <c r="J28" i="8"/>
  <c r="J30" i="8"/>
  <c r="J32" i="8"/>
  <c r="J34" i="8"/>
  <c r="J58" i="8"/>
  <c r="G12" i="9"/>
  <c r="J15" i="9"/>
  <c r="M15" i="9" s="1"/>
  <c r="J18" i="9"/>
  <c r="M18" i="9" s="1"/>
  <c r="J21" i="9"/>
  <c r="M21" i="9" s="1"/>
  <c r="J33" i="9"/>
  <c r="N33" i="9" s="1"/>
  <c r="J36" i="9"/>
  <c r="N36" i="9" s="1"/>
  <c r="J44" i="9"/>
  <c r="P44" i="9" s="1"/>
  <c r="J52" i="9"/>
  <c r="O52" i="9" s="1"/>
  <c r="J16" i="10"/>
  <c r="J20" i="10"/>
  <c r="J28" i="10"/>
  <c r="J35" i="10"/>
  <c r="J40" i="10"/>
  <c r="I43" i="10"/>
  <c r="J46" i="10"/>
  <c r="H13" i="11"/>
  <c r="K15" i="11"/>
  <c r="M14" i="13"/>
  <c r="N29" i="14"/>
  <c r="I13" i="18"/>
  <c r="I57" i="18"/>
  <c r="J14" i="19"/>
  <c r="M14" i="19" s="1"/>
  <c r="J17" i="19"/>
  <c r="M17" i="19" s="1"/>
  <c r="J23" i="19"/>
  <c r="M23" i="19" s="1"/>
  <c r="J35" i="19"/>
  <c r="N35" i="19" s="1"/>
  <c r="J38" i="19"/>
  <c r="N38" i="19" s="1"/>
  <c r="J46" i="19"/>
  <c r="P46" i="19" s="1"/>
  <c r="J54" i="19"/>
  <c r="O54" i="19" s="1"/>
  <c r="J58" i="19"/>
  <c r="J60" i="19"/>
  <c r="J62" i="19"/>
  <c r="J64" i="19"/>
  <c r="J66" i="19"/>
  <c r="C73" i="19" s="1"/>
  <c r="J22" i="20"/>
  <c r="J30" i="20"/>
  <c r="J48" i="20"/>
  <c r="J53" i="21"/>
  <c r="K15" i="22"/>
  <c r="J53" i="22"/>
  <c r="M14" i="24"/>
  <c r="R92" i="27"/>
  <c r="J43" i="28"/>
  <c r="J51" i="28"/>
  <c r="K58" i="28"/>
  <c r="J61" i="28"/>
  <c r="J16" i="29"/>
  <c r="M16" i="29" s="1"/>
  <c r="J22" i="29"/>
  <c r="M22" i="29" s="1"/>
  <c r="K28" i="29"/>
  <c r="J28" i="29"/>
  <c r="N28" i="29" s="1"/>
  <c r="K36" i="29"/>
  <c r="K42" i="29"/>
  <c r="J42" i="29"/>
  <c r="P42" i="29" s="1"/>
  <c r="J57" i="29"/>
  <c r="K63" i="29"/>
  <c r="J63" i="29"/>
  <c r="J66" i="29"/>
  <c r="C73" i="29" s="1"/>
  <c r="I14" i="30"/>
  <c r="K18" i="30"/>
  <c r="J18" i="30"/>
  <c r="K24" i="30"/>
  <c r="J30" i="30"/>
  <c r="K41" i="30"/>
  <c r="I46" i="30"/>
  <c r="G43" i="30"/>
  <c r="H43" i="30" s="1"/>
  <c r="L58" i="31"/>
  <c r="K58" i="31"/>
  <c r="H13" i="32"/>
  <c r="H52" i="32"/>
  <c r="L58" i="32"/>
  <c r="K58" i="32"/>
  <c r="N21" i="33"/>
  <c r="N32" i="33"/>
  <c r="M14" i="34"/>
  <c r="O25" i="34"/>
  <c r="N25" i="34"/>
  <c r="N45" i="34"/>
  <c r="R23" i="35"/>
  <c r="G9" i="38"/>
  <c r="K14" i="38"/>
  <c r="J19" i="38"/>
  <c r="K32" i="38"/>
  <c r="J32" i="38"/>
  <c r="J35" i="38"/>
  <c r="K40" i="38"/>
  <c r="J40" i="38"/>
  <c r="I45" i="38"/>
  <c r="I12" i="38" s="1"/>
  <c r="I59" i="38"/>
  <c r="J28" i="39"/>
  <c r="N28" i="39" s="1"/>
  <c r="K37" i="39"/>
  <c r="J37" i="39"/>
  <c r="N37" i="39" s="1"/>
  <c r="K16" i="40"/>
  <c r="K20" i="40"/>
  <c r="J20" i="40"/>
  <c r="J26" i="40"/>
  <c r="J32" i="40"/>
  <c r="K50" i="40"/>
  <c r="L53" i="41"/>
  <c r="K53" i="41"/>
  <c r="L57" i="41"/>
  <c r="K57" i="41"/>
  <c r="L60" i="41"/>
  <c r="L15" i="42"/>
  <c r="L13" i="42" s="1"/>
  <c r="G34" i="42"/>
  <c r="H34" i="42" s="1"/>
  <c r="J34" i="42" s="1"/>
  <c r="K34" i="42" s="1"/>
  <c r="L34" i="42" s="1"/>
  <c r="N34" i="43"/>
  <c r="R70" i="48"/>
  <c r="R71" i="48" s="1"/>
  <c r="J23" i="49"/>
  <c r="K23" i="49"/>
  <c r="K52" i="49"/>
  <c r="J52" i="49"/>
  <c r="L58" i="53"/>
  <c r="K58" i="53"/>
  <c r="M36" i="55"/>
  <c r="O39" i="55"/>
  <c r="K34" i="59"/>
  <c r="J34" i="59"/>
  <c r="K15" i="60"/>
  <c r="J15" i="60"/>
  <c r="M15" i="60" s="1"/>
  <c r="J48" i="60"/>
  <c r="P48" i="60" s="1"/>
  <c r="K48" i="60"/>
  <c r="L60" i="63"/>
  <c r="K60" i="63"/>
  <c r="K22" i="70"/>
  <c r="J22" i="70"/>
  <c r="M22" i="70" s="1"/>
  <c r="K55" i="71"/>
  <c r="J55" i="71"/>
  <c r="G34" i="73"/>
  <c r="H34" i="73" s="1"/>
  <c r="J34" i="73" s="1"/>
  <c r="K34" i="73" s="1"/>
  <c r="L34" i="73" s="1"/>
  <c r="H13" i="73"/>
  <c r="J15" i="73"/>
  <c r="R25" i="76"/>
  <c r="H12" i="9"/>
  <c r="K16" i="28"/>
  <c r="J16" i="28"/>
  <c r="K25" i="28"/>
  <c r="K33" i="28"/>
  <c r="K31" i="29"/>
  <c r="J31" i="29"/>
  <c r="N31" i="29" s="1"/>
  <c r="K48" i="29"/>
  <c r="J53" i="29"/>
  <c r="O53" i="29" s="1"/>
  <c r="J60" i="29"/>
  <c r="K35" i="30"/>
  <c r="K49" i="30"/>
  <c r="J49" i="30"/>
  <c r="J52" i="30"/>
  <c r="K13" i="32"/>
  <c r="J53" i="32"/>
  <c r="O15" i="34"/>
  <c r="N15" i="34"/>
  <c r="J14" i="38"/>
  <c r="K26" i="38"/>
  <c r="J26" i="38"/>
  <c r="J29" i="38"/>
  <c r="K46" i="38"/>
  <c r="J46" i="38"/>
  <c r="K60" i="38"/>
  <c r="J60" i="38"/>
  <c r="K26" i="39"/>
  <c r="J26" i="39"/>
  <c r="N26" i="39" s="1"/>
  <c r="J29" i="39"/>
  <c r="N29" i="39" s="1"/>
  <c r="K29" i="39"/>
  <c r="K47" i="39"/>
  <c r="K64" i="39"/>
  <c r="J64" i="39"/>
  <c r="K36" i="40"/>
  <c r="G43" i="40"/>
  <c r="H43" i="40" s="1"/>
  <c r="L61" i="41"/>
  <c r="K61" i="41"/>
  <c r="L57" i="42"/>
  <c r="K57" i="42"/>
  <c r="L60" i="42"/>
  <c r="K12" i="43"/>
  <c r="O20" i="43"/>
  <c r="O19" i="44"/>
  <c r="N19" i="44"/>
  <c r="N42" i="44"/>
  <c r="K61" i="49"/>
  <c r="J61" i="49"/>
  <c r="J31" i="50"/>
  <c r="N31" i="50" s="1"/>
  <c r="K31" i="50"/>
  <c r="K27" i="51"/>
  <c r="J27" i="51"/>
  <c r="J52" i="53"/>
  <c r="L53" i="53"/>
  <c r="L52" i="53" s="1"/>
  <c r="K53" i="53"/>
  <c r="N17" i="54"/>
  <c r="O30" i="54"/>
  <c r="N30" i="54"/>
  <c r="K38" i="60"/>
  <c r="J38" i="60"/>
  <c r="N38" i="60" s="1"/>
  <c r="J25" i="61"/>
  <c r="K25" i="61"/>
  <c r="O17" i="65"/>
  <c r="N17" i="65"/>
  <c r="O25" i="65"/>
  <c r="N25" i="65"/>
  <c r="O29" i="65"/>
  <c r="N29" i="65"/>
  <c r="R24" i="67"/>
  <c r="R25" i="67" s="1"/>
  <c r="K17" i="70"/>
  <c r="J17" i="70"/>
  <c r="M17" i="70" s="1"/>
  <c r="O20" i="74"/>
  <c r="N20" i="74"/>
  <c r="O37" i="74"/>
  <c r="N37" i="74"/>
  <c r="M36" i="75"/>
  <c r="K35" i="75"/>
  <c r="L35" i="75" s="1"/>
  <c r="J38" i="80"/>
  <c r="N38" i="80" s="1"/>
  <c r="K38" i="80"/>
  <c r="O38" i="85"/>
  <c r="N38" i="85"/>
  <c r="K12" i="13"/>
  <c r="K9" i="13" s="1"/>
  <c r="G12" i="18"/>
  <c r="K12" i="24"/>
  <c r="K9" i="24" s="1"/>
  <c r="R46" i="26"/>
  <c r="K20" i="29"/>
  <c r="J20" i="29"/>
  <c r="M20" i="29" s="1"/>
  <c r="K26" i="29"/>
  <c r="J26" i="29"/>
  <c r="N26" i="29" s="1"/>
  <c r="K43" i="29"/>
  <c r="J43" i="29"/>
  <c r="P43" i="29" s="1"/>
  <c r="P12" i="29" s="1"/>
  <c r="C72" i="29" s="1"/>
  <c r="G10" i="30"/>
  <c r="K31" i="30"/>
  <c r="J31" i="30"/>
  <c r="L54" i="31"/>
  <c r="K54" i="31"/>
  <c r="L59" i="31"/>
  <c r="K59" i="31"/>
  <c r="L54" i="32"/>
  <c r="K54" i="32"/>
  <c r="L59" i="32"/>
  <c r="K59" i="32"/>
  <c r="K26" i="33"/>
  <c r="M27" i="33"/>
  <c r="O21" i="34"/>
  <c r="N21" i="34"/>
  <c r="O26" i="34"/>
  <c r="N26" i="34"/>
  <c r="K20" i="38"/>
  <c r="J20" i="38"/>
  <c r="K36" i="38"/>
  <c r="J36" i="38"/>
  <c r="K41" i="38"/>
  <c r="J41" i="38"/>
  <c r="K52" i="38"/>
  <c r="J52" i="38"/>
  <c r="K66" i="38"/>
  <c r="J66" i="38"/>
  <c r="K21" i="39"/>
  <c r="J21" i="39"/>
  <c r="M21" i="39" s="1"/>
  <c r="K50" i="39"/>
  <c r="J50" i="39"/>
  <c r="O50" i="39" s="1"/>
  <c r="O12" i="39" s="1"/>
  <c r="C71" i="39" s="1"/>
  <c r="K58" i="39"/>
  <c r="K56" i="39" s="1"/>
  <c r="J58" i="39"/>
  <c r="J56" i="39" s="1"/>
  <c r="I56" i="39"/>
  <c r="K21" i="40"/>
  <c r="J21" i="40"/>
  <c r="K27" i="40"/>
  <c r="J27" i="40"/>
  <c r="G33" i="41"/>
  <c r="H33" i="41" s="1"/>
  <c r="J33" i="41" s="1"/>
  <c r="K33" i="41" s="1"/>
  <c r="L33" i="41" s="1"/>
  <c r="J15" i="41"/>
  <c r="L54" i="41"/>
  <c r="K54" i="41"/>
  <c r="L61" i="42"/>
  <c r="K61" i="42"/>
  <c r="O35" i="43"/>
  <c r="N35" i="43"/>
  <c r="R23" i="47"/>
  <c r="R70" i="47"/>
  <c r="R71" i="47" s="1"/>
  <c r="J20" i="49"/>
  <c r="K20" i="49"/>
  <c r="K36" i="49"/>
  <c r="J36" i="49"/>
  <c r="K28" i="51"/>
  <c r="J28" i="51"/>
  <c r="L59" i="52"/>
  <c r="K59" i="52"/>
  <c r="L54" i="53"/>
  <c r="K54" i="53"/>
  <c r="K9" i="54"/>
  <c r="O25" i="55"/>
  <c r="N25" i="55"/>
  <c r="K30" i="59"/>
  <c r="J30" i="59"/>
  <c r="J36" i="60"/>
  <c r="N36" i="60" s="1"/>
  <c r="K36" i="60"/>
  <c r="K40" i="61"/>
  <c r="J40" i="61"/>
  <c r="J14" i="70"/>
  <c r="M14" i="70" s="1"/>
  <c r="K14" i="70"/>
  <c r="J13" i="8"/>
  <c r="J15" i="8"/>
  <c r="J17" i="8"/>
  <c r="G9" i="9"/>
  <c r="J20" i="9"/>
  <c r="M20" i="9" s="1"/>
  <c r="J32" i="9"/>
  <c r="N32" i="9" s="1"/>
  <c r="J43" i="9"/>
  <c r="P43" i="9" s="1"/>
  <c r="J51" i="9"/>
  <c r="O51" i="9" s="1"/>
  <c r="J32" i="10"/>
  <c r="J34" i="10"/>
  <c r="K53" i="11"/>
  <c r="K51" i="11" s="1"/>
  <c r="K55" i="11"/>
  <c r="K57" i="11"/>
  <c r="K59" i="11"/>
  <c r="K61" i="11"/>
  <c r="K53" i="12"/>
  <c r="K55" i="12"/>
  <c r="K57" i="12"/>
  <c r="K59" i="12"/>
  <c r="K61" i="12"/>
  <c r="N14" i="14"/>
  <c r="N16" i="14"/>
  <c r="N18" i="14"/>
  <c r="N20" i="14"/>
  <c r="N22" i="14"/>
  <c r="N24" i="14"/>
  <c r="N26" i="14"/>
  <c r="M28" i="14"/>
  <c r="M12" i="14" s="1"/>
  <c r="J37" i="18"/>
  <c r="J39" i="18"/>
  <c r="J41" i="18"/>
  <c r="J43" i="18"/>
  <c r="J45" i="18"/>
  <c r="J47" i="18"/>
  <c r="J49" i="18"/>
  <c r="J51" i="18"/>
  <c r="J53" i="18"/>
  <c r="J61" i="18"/>
  <c r="J63" i="18"/>
  <c r="J65" i="18"/>
  <c r="J16" i="19"/>
  <c r="M16" i="19" s="1"/>
  <c r="J22" i="19"/>
  <c r="M22" i="19" s="1"/>
  <c r="J34" i="19"/>
  <c r="N34" i="19" s="1"/>
  <c r="J37" i="19"/>
  <c r="N37" i="19" s="1"/>
  <c r="J45" i="19"/>
  <c r="P45" i="19" s="1"/>
  <c r="J53" i="19"/>
  <c r="O53" i="19" s="1"/>
  <c r="I14" i="20"/>
  <c r="J52" i="20"/>
  <c r="J54" i="20"/>
  <c r="N15" i="23"/>
  <c r="N12" i="23" s="1"/>
  <c r="N17" i="23"/>
  <c r="N19" i="23"/>
  <c r="N21" i="23"/>
  <c r="N23" i="23"/>
  <c r="N30" i="23"/>
  <c r="N32" i="23"/>
  <c r="N34" i="23"/>
  <c r="N36" i="23"/>
  <c r="N32" i="24"/>
  <c r="N39" i="24"/>
  <c r="N41" i="24"/>
  <c r="N43" i="24"/>
  <c r="N45" i="24"/>
  <c r="K23" i="28"/>
  <c r="K31" i="28"/>
  <c r="J14" i="29"/>
  <c r="M14" i="29" s="1"/>
  <c r="J17" i="29"/>
  <c r="M17" i="29" s="1"/>
  <c r="J23" i="29"/>
  <c r="M23" i="29" s="1"/>
  <c r="K29" i="29"/>
  <c r="J34" i="29"/>
  <c r="N34" i="29" s="1"/>
  <c r="N12" i="29" s="1"/>
  <c r="C70" i="29" s="1"/>
  <c r="J37" i="29"/>
  <c r="N37" i="29" s="1"/>
  <c r="K61" i="29"/>
  <c r="J61" i="29"/>
  <c r="J64" i="29"/>
  <c r="J22" i="30"/>
  <c r="J36" i="30"/>
  <c r="J47" i="30"/>
  <c r="L60" i="31"/>
  <c r="K60" i="31"/>
  <c r="L60" i="32"/>
  <c r="K60" i="32"/>
  <c r="O27" i="34"/>
  <c r="N27" i="34"/>
  <c r="N38" i="34"/>
  <c r="K30" i="38"/>
  <c r="J30" i="38"/>
  <c r="J33" i="38"/>
  <c r="K42" i="38"/>
  <c r="J42" i="38"/>
  <c r="K57" i="38"/>
  <c r="G9" i="39"/>
  <c r="I12" i="39"/>
  <c r="K13" i="39"/>
  <c r="I9" i="39"/>
  <c r="K24" i="39"/>
  <c r="J32" i="39"/>
  <c r="N32" i="39" s="1"/>
  <c r="K38" i="39"/>
  <c r="J41" i="39"/>
  <c r="P41" i="39" s="1"/>
  <c r="P12" i="39" s="1"/>
  <c r="C72" i="39" s="1"/>
  <c r="K18" i="40"/>
  <c r="J18" i="40"/>
  <c r="K24" i="40"/>
  <c r="I43" i="40"/>
  <c r="K46" i="40"/>
  <c r="L55" i="41"/>
  <c r="K55" i="41"/>
  <c r="L62" i="42"/>
  <c r="K62" i="42"/>
  <c r="M12" i="43"/>
  <c r="O14" i="43"/>
  <c r="N14" i="43"/>
  <c r="O27" i="43"/>
  <c r="O15" i="44"/>
  <c r="O23" i="44"/>
  <c r="I58" i="49"/>
  <c r="K15" i="50"/>
  <c r="J15" i="50"/>
  <c r="M15" i="50" s="1"/>
  <c r="J39" i="50"/>
  <c r="N39" i="50" s="1"/>
  <c r="K16" i="51"/>
  <c r="J16" i="51"/>
  <c r="K20" i="51"/>
  <c r="J20" i="51"/>
  <c r="K34" i="51"/>
  <c r="J34" i="51"/>
  <c r="L60" i="52"/>
  <c r="K60" i="52"/>
  <c r="M27" i="54"/>
  <c r="K26" i="54"/>
  <c r="L26" i="54" s="1"/>
  <c r="M12" i="55"/>
  <c r="K32" i="61"/>
  <c r="J32" i="61"/>
  <c r="R71" i="68"/>
  <c r="R70" i="68"/>
  <c r="R92" i="68"/>
  <c r="K36" i="71"/>
  <c r="J36" i="71"/>
  <c r="R24" i="77"/>
  <c r="R25" i="77" s="1"/>
  <c r="R70" i="77"/>
  <c r="R71" i="77" s="1"/>
  <c r="K58" i="79"/>
  <c r="J58" i="79"/>
  <c r="K13" i="8"/>
  <c r="L53" i="12"/>
  <c r="L52" i="12" s="1"/>
  <c r="I52" i="12" s="1"/>
  <c r="O14" i="14"/>
  <c r="G12" i="28"/>
  <c r="J39" i="28"/>
  <c r="J47" i="28"/>
  <c r="J65" i="28"/>
  <c r="K24" i="29"/>
  <c r="J24" i="29"/>
  <c r="M24" i="29" s="1"/>
  <c r="J54" i="29"/>
  <c r="O54" i="29" s="1"/>
  <c r="J58" i="29"/>
  <c r="J29" i="30"/>
  <c r="J13" i="32"/>
  <c r="O12" i="33"/>
  <c r="N17" i="33"/>
  <c r="N36" i="33"/>
  <c r="O17" i="34"/>
  <c r="N17" i="34"/>
  <c r="N30" i="34"/>
  <c r="N41" i="34"/>
  <c r="K24" i="38"/>
  <c r="J24" i="38"/>
  <c r="J27" i="38"/>
  <c r="K48" i="38"/>
  <c r="J48" i="38"/>
  <c r="K62" i="38"/>
  <c r="J62" i="38"/>
  <c r="J13" i="39"/>
  <c r="J35" i="39"/>
  <c r="N35" i="39" s="1"/>
  <c r="K48" i="39"/>
  <c r="K62" i="39"/>
  <c r="J62" i="39"/>
  <c r="J65" i="39"/>
  <c r="G13" i="40"/>
  <c r="I14" i="40"/>
  <c r="G10" i="40"/>
  <c r="K22" i="40"/>
  <c r="J46" i="40"/>
  <c r="K54" i="40"/>
  <c r="J54" i="40"/>
  <c r="H13" i="42"/>
  <c r="L55" i="42"/>
  <c r="K55" i="42"/>
  <c r="N18" i="43"/>
  <c r="K26" i="43"/>
  <c r="L26" i="43" s="1"/>
  <c r="M28" i="43"/>
  <c r="M26" i="43" s="1"/>
  <c r="O31" i="43"/>
  <c r="O16" i="44"/>
  <c r="N16" i="44"/>
  <c r="N20" i="44"/>
  <c r="O24" i="44"/>
  <c r="N24" i="44"/>
  <c r="N28" i="44"/>
  <c r="O28" i="44"/>
  <c r="N31" i="44"/>
  <c r="R23" i="45"/>
  <c r="R46" i="45"/>
  <c r="J17" i="49"/>
  <c r="J31" i="49"/>
  <c r="K31" i="49"/>
  <c r="J45" i="49"/>
  <c r="K36" i="50"/>
  <c r="J36" i="50"/>
  <c r="N36" i="50" s="1"/>
  <c r="K35" i="51"/>
  <c r="J35" i="51"/>
  <c r="L55" i="52"/>
  <c r="K55" i="52"/>
  <c r="K9" i="55"/>
  <c r="O17" i="55"/>
  <c r="O12" i="55" s="1"/>
  <c r="N17" i="55"/>
  <c r="N12" i="55" s="1"/>
  <c r="J20" i="59"/>
  <c r="K20" i="59"/>
  <c r="N31" i="64"/>
  <c r="O31" i="64"/>
  <c r="K61" i="69"/>
  <c r="J61" i="69"/>
  <c r="K65" i="69"/>
  <c r="J65" i="69"/>
  <c r="K27" i="71"/>
  <c r="J27" i="71"/>
  <c r="J30" i="71"/>
  <c r="K30" i="71"/>
  <c r="J16" i="79"/>
  <c r="K16" i="79"/>
  <c r="K27" i="79"/>
  <c r="J27" i="79"/>
  <c r="E175" i="3"/>
  <c r="R46" i="27"/>
  <c r="I12" i="28"/>
  <c r="K13" i="28"/>
  <c r="J13" i="28"/>
  <c r="G56" i="28"/>
  <c r="H56" i="28" s="1"/>
  <c r="G56" i="29"/>
  <c r="H56" i="29" s="1"/>
  <c r="K65" i="29"/>
  <c r="J65" i="29"/>
  <c r="K23" i="30"/>
  <c r="J23" i="30"/>
  <c r="K26" i="30"/>
  <c r="J26" i="30"/>
  <c r="K33" i="30"/>
  <c r="J33" i="30"/>
  <c r="L56" i="31"/>
  <c r="K56" i="31"/>
  <c r="L61" i="31"/>
  <c r="K61" i="31"/>
  <c r="L13" i="32"/>
  <c r="L56" i="32"/>
  <c r="K56" i="32"/>
  <c r="L61" i="32"/>
  <c r="K61" i="32"/>
  <c r="O15" i="33"/>
  <c r="M12" i="33"/>
  <c r="O23" i="34"/>
  <c r="N23" i="34"/>
  <c r="R46" i="37"/>
  <c r="K18" i="38"/>
  <c r="J18" i="38"/>
  <c r="K34" i="38"/>
  <c r="J34" i="38"/>
  <c r="K38" i="38"/>
  <c r="J38" i="38"/>
  <c r="K43" i="38"/>
  <c r="J43" i="38"/>
  <c r="K54" i="38"/>
  <c r="J54" i="38"/>
  <c r="K58" i="38"/>
  <c r="J58" i="38"/>
  <c r="K52" i="39"/>
  <c r="J52" i="39"/>
  <c r="O52" i="39" s="1"/>
  <c r="K25" i="40"/>
  <c r="J25" i="40"/>
  <c r="K28" i="40"/>
  <c r="J28" i="40"/>
  <c r="K34" i="40"/>
  <c r="J34" i="40"/>
  <c r="K55" i="40"/>
  <c r="J55" i="40"/>
  <c r="O22" i="43"/>
  <c r="N22" i="43"/>
  <c r="O32" i="43"/>
  <c r="N32" i="43"/>
  <c r="O17" i="44"/>
  <c r="N17" i="44"/>
  <c r="O40" i="44"/>
  <c r="N40" i="44"/>
  <c r="I14" i="49"/>
  <c r="G9" i="49"/>
  <c r="J18" i="49"/>
  <c r="K18" i="49"/>
  <c r="L56" i="52"/>
  <c r="K56" i="52"/>
  <c r="L61" i="53"/>
  <c r="K61" i="53"/>
  <c r="I16" i="59"/>
  <c r="K54" i="60"/>
  <c r="J54" i="60"/>
  <c r="O54" i="60" s="1"/>
  <c r="K21" i="62"/>
  <c r="L21" i="62" s="1"/>
  <c r="M28" i="64"/>
  <c r="K26" i="64"/>
  <c r="L26" i="64" s="1"/>
  <c r="K17" i="69"/>
  <c r="J17" i="69"/>
  <c r="I23" i="71"/>
  <c r="R25" i="78"/>
  <c r="R24" i="78"/>
  <c r="R47" i="78"/>
  <c r="R48" i="78"/>
  <c r="F73" i="3"/>
  <c r="F107" i="3"/>
  <c r="F141" i="3"/>
  <c r="F175" i="3"/>
  <c r="R92" i="26"/>
  <c r="K14" i="28"/>
  <c r="J14" i="28"/>
  <c r="K57" i="28"/>
  <c r="K56" i="28" s="1"/>
  <c r="J57" i="28"/>
  <c r="J56" i="28" s="1"/>
  <c r="G12" i="29"/>
  <c r="I13" i="29"/>
  <c r="K47" i="29"/>
  <c r="J47" i="29"/>
  <c r="P47" i="29" s="1"/>
  <c r="K59" i="29"/>
  <c r="J59" i="29"/>
  <c r="L62" i="32"/>
  <c r="K62" i="32"/>
  <c r="L12" i="34"/>
  <c r="O18" i="34"/>
  <c r="N18" i="34"/>
  <c r="K35" i="34"/>
  <c r="L35" i="34" s="1"/>
  <c r="M36" i="34"/>
  <c r="R46" i="36"/>
  <c r="R71" i="37"/>
  <c r="K28" i="38"/>
  <c r="J28" i="38"/>
  <c r="K44" i="38"/>
  <c r="J44" i="38"/>
  <c r="K49" i="38"/>
  <c r="J49" i="38"/>
  <c r="K63" i="38"/>
  <c r="J63" i="38"/>
  <c r="K36" i="39"/>
  <c r="J36" i="39"/>
  <c r="N36" i="39" s="1"/>
  <c r="K66" i="39"/>
  <c r="J66" i="39"/>
  <c r="C73" i="39" s="1"/>
  <c r="K15" i="40"/>
  <c r="J15" i="40"/>
  <c r="K19" i="40"/>
  <c r="J19" i="40"/>
  <c r="K29" i="40"/>
  <c r="J29" i="40"/>
  <c r="K47" i="40"/>
  <c r="J47" i="40"/>
  <c r="H51" i="41"/>
  <c r="J52" i="41"/>
  <c r="J13" i="42"/>
  <c r="O23" i="43"/>
  <c r="N23" i="43"/>
  <c r="O33" i="43"/>
  <c r="N33" i="43"/>
  <c r="O25" i="44"/>
  <c r="N25" i="44"/>
  <c r="O45" i="44"/>
  <c r="O35" i="44" s="1"/>
  <c r="N45" i="44"/>
  <c r="R23" i="48"/>
  <c r="J28" i="49"/>
  <c r="K28" i="49"/>
  <c r="J59" i="50"/>
  <c r="K59" i="50"/>
  <c r="K22" i="51"/>
  <c r="J22" i="51"/>
  <c r="J26" i="51"/>
  <c r="K26" i="51"/>
  <c r="K31" i="51"/>
  <c r="J31" i="51"/>
  <c r="K40" i="51"/>
  <c r="J40" i="51"/>
  <c r="K45" i="51"/>
  <c r="J45" i="51"/>
  <c r="L62" i="53"/>
  <c r="K62" i="53"/>
  <c r="K27" i="60"/>
  <c r="J27" i="60"/>
  <c r="N27" i="60" s="1"/>
  <c r="J17" i="61"/>
  <c r="I13" i="61"/>
  <c r="K51" i="61"/>
  <c r="J51" i="61"/>
  <c r="J55" i="62"/>
  <c r="H51" i="62"/>
  <c r="M16" i="64"/>
  <c r="K12" i="64"/>
  <c r="K24" i="71"/>
  <c r="J24" i="71"/>
  <c r="J20" i="72"/>
  <c r="K20" i="72" s="1"/>
  <c r="L20" i="72" s="1"/>
  <c r="K12" i="44"/>
  <c r="R92" i="47"/>
  <c r="K20" i="50"/>
  <c r="J20" i="50"/>
  <c r="M20" i="50" s="1"/>
  <c r="K43" i="50"/>
  <c r="J43" i="50"/>
  <c r="P43" i="50" s="1"/>
  <c r="P12" i="50" s="1"/>
  <c r="C72" i="50" s="1"/>
  <c r="K52" i="50"/>
  <c r="J52" i="50"/>
  <c r="O52" i="50" s="1"/>
  <c r="G56" i="50"/>
  <c r="H56" i="50" s="1"/>
  <c r="L12" i="54"/>
  <c r="M14" i="54"/>
  <c r="O43" i="55"/>
  <c r="N43" i="55"/>
  <c r="J25" i="59"/>
  <c r="K25" i="59"/>
  <c r="J35" i="59"/>
  <c r="K35" i="59"/>
  <c r="K20" i="60"/>
  <c r="J20" i="60"/>
  <c r="M20" i="60" s="1"/>
  <c r="K23" i="60"/>
  <c r="J23" i="60"/>
  <c r="M23" i="60" s="1"/>
  <c r="K31" i="60"/>
  <c r="J31" i="60"/>
  <c r="N31" i="60" s="1"/>
  <c r="K52" i="60"/>
  <c r="J52" i="60"/>
  <c r="O52" i="60" s="1"/>
  <c r="K26" i="61"/>
  <c r="J26" i="61"/>
  <c r="H52" i="63"/>
  <c r="J53" i="63"/>
  <c r="L57" i="63"/>
  <c r="K57" i="63"/>
  <c r="L61" i="63"/>
  <c r="K61" i="63"/>
  <c r="O14" i="65"/>
  <c r="N14" i="65"/>
  <c r="M12" i="65"/>
  <c r="O18" i="65"/>
  <c r="N18" i="65"/>
  <c r="O22" i="65"/>
  <c r="N22" i="65"/>
  <c r="O26" i="65"/>
  <c r="N26" i="65"/>
  <c r="O30" i="65"/>
  <c r="N30" i="65"/>
  <c r="M35" i="65"/>
  <c r="N36" i="65"/>
  <c r="N35" i="65" s="1"/>
  <c r="K25" i="70"/>
  <c r="J25" i="70"/>
  <c r="N25" i="70" s="1"/>
  <c r="K34" i="70"/>
  <c r="J34" i="70"/>
  <c r="N34" i="70" s="1"/>
  <c r="K37" i="70"/>
  <c r="J37" i="70"/>
  <c r="N37" i="70" s="1"/>
  <c r="K19" i="71"/>
  <c r="J19" i="71"/>
  <c r="K37" i="71"/>
  <c r="J37" i="71"/>
  <c r="L60" i="73"/>
  <c r="K60" i="73"/>
  <c r="O29" i="75"/>
  <c r="N29" i="75"/>
  <c r="K27" i="80"/>
  <c r="J27" i="80"/>
  <c r="N27" i="80" s="1"/>
  <c r="K61" i="80"/>
  <c r="J61" i="80"/>
  <c r="K20" i="81"/>
  <c r="J20" i="81"/>
  <c r="M14" i="44"/>
  <c r="J49" i="49"/>
  <c r="J28" i="50"/>
  <c r="N28" i="50" s="1"/>
  <c r="J37" i="50"/>
  <c r="N37" i="50" s="1"/>
  <c r="K40" i="50"/>
  <c r="I56" i="50"/>
  <c r="K15" i="51"/>
  <c r="J15" i="51"/>
  <c r="K25" i="51"/>
  <c r="K53" i="51"/>
  <c r="G33" i="52"/>
  <c r="H33" i="52" s="1"/>
  <c r="J33" i="52" s="1"/>
  <c r="K33" i="52" s="1"/>
  <c r="L33" i="52" s="1"/>
  <c r="O18" i="54"/>
  <c r="O22" i="54"/>
  <c r="O40" i="55"/>
  <c r="N40" i="55"/>
  <c r="O44" i="55"/>
  <c r="N44" i="55"/>
  <c r="G12" i="59"/>
  <c r="I13" i="59"/>
  <c r="J49" i="60"/>
  <c r="P49" i="60" s="1"/>
  <c r="J33" i="61"/>
  <c r="J41" i="61"/>
  <c r="K41" i="61"/>
  <c r="K45" i="61"/>
  <c r="J45" i="61"/>
  <c r="K48" i="61"/>
  <c r="J48" i="61"/>
  <c r="L15" i="62"/>
  <c r="J51" i="62"/>
  <c r="L52" i="62"/>
  <c r="L56" i="62"/>
  <c r="K56" i="62"/>
  <c r="L61" i="62"/>
  <c r="K61" i="62"/>
  <c r="O20" i="64"/>
  <c r="N20" i="64"/>
  <c r="O31" i="65"/>
  <c r="N31" i="65"/>
  <c r="O36" i="65"/>
  <c r="O42" i="65"/>
  <c r="R23" i="68"/>
  <c r="K38" i="70"/>
  <c r="J38" i="70"/>
  <c r="N38" i="70" s="1"/>
  <c r="K41" i="70"/>
  <c r="O12" i="70"/>
  <c r="C71" i="70" s="1"/>
  <c r="K53" i="70"/>
  <c r="J53" i="70"/>
  <c r="O53" i="70" s="1"/>
  <c r="J58" i="70"/>
  <c r="K51" i="71"/>
  <c r="K61" i="73"/>
  <c r="L61" i="73"/>
  <c r="K19" i="80"/>
  <c r="J19" i="80"/>
  <c r="M19" i="80" s="1"/>
  <c r="J28" i="80"/>
  <c r="N28" i="80" s="1"/>
  <c r="K28" i="80"/>
  <c r="J35" i="80"/>
  <c r="N35" i="80" s="1"/>
  <c r="K35" i="80"/>
  <c r="J39" i="80"/>
  <c r="N39" i="80" s="1"/>
  <c r="K39" i="80"/>
  <c r="J30" i="81"/>
  <c r="K30" i="81"/>
  <c r="O28" i="84"/>
  <c r="O26" i="84" s="1"/>
  <c r="N28" i="84"/>
  <c r="K20" i="101"/>
  <c r="J20" i="101"/>
  <c r="M20" i="101" s="1"/>
  <c r="K26" i="101"/>
  <c r="J26" i="101"/>
  <c r="N26" i="101" s="1"/>
  <c r="K46" i="101"/>
  <c r="J46" i="101"/>
  <c r="P46" i="101" s="1"/>
  <c r="K58" i="101"/>
  <c r="J58" i="101"/>
  <c r="K64" i="101"/>
  <c r="J64" i="101"/>
  <c r="K18" i="50"/>
  <c r="J18" i="50"/>
  <c r="M18" i="50" s="1"/>
  <c r="K26" i="50"/>
  <c r="J26" i="50"/>
  <c r="N26" i="50" s="1"/>
  <c r="N12" i="50" s="1"/>
  <c r="C70" i="50" s="1"/>
  <c r="K32" i="50"/>
  <c r="J32" i="50"/>
  <c r="N32" i="50" s="1"/>
  <c r="K56" i="50"/>
  <c r="K19" i="51"/>
  <c r="J19" i="51"/>
  <c r="K32" i="51"/>
  <c r="J32" i="51"/>
  <c r="K39" i="51"/>
  <c r="J39" i="51"/>
  <c r="L15" i="52"/>
  <c r="L53" i="52"/>
  <c r="K53" i="52"/>
  <c r="L57" i="52"/>
  <c r="K57" i="52"/>
  <c r="L61" i="52"/>
  <c r="K61" i="52"/>
  <c r="L55" i="53"/>
  <c r="K55" i="53"/>
  <c r="L59" i="53"/>
  <c r="K59" i="53"/>
  <c r="O31" i="55"/>
  <c r="N31" i="55"/>
  <c r="R23" i="56"/>
  <c r="K17" i="59"/>
  <c r="J17" i="59"/>
  <c r="K26" i="59"/>
  <c r="J26" i="59"/>
  <c r="K27" i="61"/>
  <c r="J27" i="61"/>
  <c r="K30" i="61"/>
  <c r="J30" i="61"/>
  <c r="K34" i="61"/>
  <c r="J34" i="61"/>
  <c r="K37" i="61"/>
  <c r="J37" i="61"/>
  <c r="L57" i="62"/>
  <c r="K57" i="62"/>
  <c r="L12" i="64"/>
  <c r="M14" i="64"/>
  <c r="O29" i="64"/>
  <c r="O37" i="64"/>
  <c r="N37" i="65"/>
  <c r="O37" i="65"/>
  <c r="K15" i="69"/>
  <c r="J15" i="69"/>
  <c r="K21" i="69"/>
  <c r="J21" i="69"/>
  <c r="K31" i="69"/>
  <c r="J31" i="69"/>
  <c r="K42" i="69"/>
  <c r="J42" i="69"/>
  <c r="K50" i="69"/>
  <c r="J50" i="69"/>
  <c r="K34" i="71"/>
  <c r="J34" i="71"/>
  <c r="J38" i="71"/>
  <c r="K38" i="71"/>
  <c r="K41" i="71"/>
  <c r="J41" i="71"/>
  <c r="K52" i="71"/>
  <c r="J52" i="71"/>
  <c r="K57" i="73"/>
  <c r="J52" i="73"/>
  <c r="L57" i="73"/>
  <c r="K26" i="74"/>
  <c r="L26" i="74" s="1"/>
  <c r="M31" i="74"/>
  <c r="O35" i="74"/>
  <c r="N35" i="74"/>
  <c r="O38" i="75"/>
  <c r="O35" i="75" s="1"/>
  <c r="N38" i="75"/>
  <c r="O42" i="75"/>
  <c r="N42" i="75"/>
  <c r="K52" i="80"/>
  <c r="J52" i="80"/>
  <c r="O52" i="80" s="1"/>
  <c r="O12" i="80" s="1"/>
  <c r="C71" i="80" s="1"/>
  <c r="K63" i="80"/>
  <c r="J63" i="80"/>
  <c r="J27" i="81"/>
  <c r="K37" i="81"/>
  <c r="J37" i="81"/>
  <c r="G12" i="39"/>
  <c r="H52" i="42"/>
  <c r="N30" i="44"/>
  <c r="K35" i="44"/>
  <c r="L35" i="44" s="1"/>
  <c r="O36" i="44"/>
  <c r="N38" i="44"/>
  <c r="N35" i="44" s="1"/>
  <c r="N46" i="44"/>
  <c r="R46" i="47"/>
  <c r="G12" i="49"/>
  <c r="K21" i="49"/>
  <c r="K29" i="49"/>
  <c r="J37" i="49"/>
  <c r="J50" i="49"/>
  <c r="J53" i="49"/>
  <c r="J59" i="49"/>
  <c r="K21" i="50"/>
  <c r="J21" i="50"/>
  <c r="M21" i="50" s="1"/>
  <c r="K29" i="50"/>
  <c r="K41" i="50"/>
  <c r="K44" i="50"/>
  <c r="J44" i="50"/>
  <c r="P44" i="50" s="1"/>
  <c r="K50" i="50"/>
  <c r="J53" i="50"/>
  <c r="O53" i="50" s="1"/>
  <c r="J57" i="50"/>
  <c r="J23" i="51"/>
  <c r="J29" i="51"/>
  <c r="K44" i="51"/>
  <c r="J54" i="51"/>
  <c r="N15" i="54"/>
  <c r="N19" i="54"/>
  <c r="N23" i="54"/>
  <c r="O28" i="54"/>
  <c r="R23" i="58"/>
  <c r="J22" i="59"/>
  <c r="J27" i="59"/>
  <c r="K27" i="59"/>
  <c r="G56" i="59"/>
  <c r="H56" i="59" s="1"/>
  <c r="I57" i="59"/>
  <c r="I14" i="60"/>
  <c r="G12" i="60"/>
  <c r="K25" i="60"/>
  <c r="J25" i="60"/>
  <c r="N25" i="60" s="1"/>
  <c r="J28" i="60"/>
  <c r="N28" i="60" s="1"/>
  <c r="K32" i="60"/>
  <c r="J32" i="60"/>
  <c r="N32" i="60" s="1"/>
  <c r="K43" i="60"/>
  <c r="J43" i="60"/>
  <c r="P43" i="60" s="1"/>
  <c r="P12" i="60" s="1"/>
  <c r="K50" i="60"/>
  <c r="J50" i="60"/>
  <c r="O50" i="60" s="1"/>
  <c r="K60" i="60"/>
  <c r="J60" i="60"/>
  <c r="J22" i="61"/>
  <c r="G43" i="61"/>
  <c r="H43" i="61" s="1"/>
  <c r="I46" i="61"/>
  <c r="K55" i="61"/>
  <c r="J55" i="61"/>
  <c r="O40" i="65"/>
  <c r="K25" i="69"/>
  <c r="J25" i="69"/>
  <c r="K38" i="69"/>
  <c r="J38" i="69"/>
  <c r="K46" i="69"/>
  <c r="J46" i="69"/>
  <c r="K54" i="69"/>
  <c r="J54" i="69"/>
  <c r="K26" i="70"/>
  <c r="J29" i="70"/>
  <c r="N29" i="70" s="1"/>
  <c r="K20" i="71"/>
  <c r="J20" i="71"/>
  <c r="K25" i="71"/>
  <c r="J25" i="71"/>
  <c r="G43" i="71"/>
  <c r="H43" i="71" s="1"/>
  <c r="I47" i="71"/>
  <c r="O14" i="74"/>
  <c r="M12" i="74"/>
  <c r="N14" i="74"/>
  <c r="O22" i="74"/>
  <c r="N22" i="74"/>
  <c r="L12" i="75"/>
  <c r="M14" i="75"/>
  <c r="K12" i="75"/>
  <c r="O46" i="75"/>
  <c r="N46" i="75"/>
  <c r="R46" i="77"/>
  <c r="J14" i="79"/>
  <c r="K14" i="79"/>
  <c r="K33" i="79"/>
  <c r="J33" i="79"/>
  <c r="K40" i="79"/>
  <c r="J40" i="79"/>
  <c r="K21" i="80"/>
  <c r="J21" i="80"/>
  <c r="M21" i="80" s="1"/>
  <c r="K32" i="80"/>
  <c r="J32" i="80"/>
  <c r="N32" i="80" s="1"/>
  <c r="K36" i="80"/>
  <c r="J36" i="80"/>
  <c r="N36" i="80" s="1"/>
  <c r="J58" i="80"/>
  <c r="K58" i="80"/>
  <c r="I15" i="81"/>
  <c r="G10" i="81"/>
  <c r="J53" i="42"/>
  <c r="L12" i="44"/>
  <c r="N41" i="44"/>
  <c r="R46" i="46"/>
  <c r="R92" i="48"/>
  <c r="K13" i="49"/>
  <c r="I13" i="50"/>
  <c r="G9" i="50"/>
  <c r="H12" i="50"/>
  <c r="G12" i="50"/>
  <c r="G13" i="51"/>
  <c r="J33" i="51"/>
  <c r="K37" i="51"/>
  <c r="K54" i="52"/>
  <c r="K58" i="52"/>
  <c r="K56" i="53"/>
  <c r="K60" i="53"/>
  <c r="N32" i="54"/>
  <c r="N36" i="54"/>
  <c r="N21" i="55"/>
  <c r="O29" i="55"/>
  <c r="N29" i="55"/>
  <c r="O32" i="55"/>
  <c r="N32" i="55"/>
  <c r="O45" i="55"/>
  <c r="R46" i="58"/>
  <c r="K14" i="59"/>
  <c r="J32" i="59"/>
  <c r="K64" i="59"/>
  <c r="J29" i="60"/>
  <c r="N29" i="60" s="1"/>
  <c r="K29" i="60"/>
  <c r="K46" i="60"/>
  <c r="J46" i="60"/>
  <c r="P46" i="60" s="1"/>
  <c r="K64" i="60"/>
  <c r="J64" i="60"/>
  <c r="K15" i="61"/>
  <c r="J15" i="61"/>
  <c r="K19" i="61"/>
  <c r="J19" i="61"/>
  <c r="K49" i="61"/>
  <c r="J49" i="61"/>
  <c r="L53" i="62"/>
  <c r="K53" i="62"/>
  <c r="L58" i="62"/>
  <c r="G34" i="63"/>
  <c r="H34" i="63" s="1"/>
  <c r="J34" i="63" s="1"/>
  <c r="K34" i="63" s="1"/>
  <c r="L34" i="63" s="1"/>
  <c r="J15" i="63"/>
  <c r="O18" i="64"/>
  <c r="N18" i="64"/>
  <c r="O35" i="64"/>
  <c r="K22" i="69"/>
  <c r="J22" i="69"/>
  <c r="K32" i="69"/>
  <c r="J32" i="69"/>
  <c r="K39" i="69"/>
  <c r="J39" i="69"/>
  <c r="K43" i="69"/>
  <c r="J43" i="69"/>
  <c r="K47" i="69"/>
  <c r="J47" i="69"/>
  <c r="K51" i="69"/>
  <c r="J51" i="69"/>
  <c r="K59" i="69"/>
  <c r="J59" i="69"/>
  <c r="J48" i="70"/>
  <c r="P48" i="70" s="1"/>
  <c r="K64" i="70"/>
  <c r="J64" i="70"/>
  <c r="G13" i="71"/>
  <c r="I14" i="71"/>
  <c r="K21" i="71"/>
  <c r="J21" i="71"/>
  <c r="K32" i="71"/>
  <c r="J32" i="71"/>
  <c r="K39" i="71"/>
  <c r="J39" i="71"/>
  <c r="J44" i="71"/>
  <c r="K44" i="71"/>
  <c r="K48" i="71"/>
  <c r="J48" i="71"/>
  <c r="J53" i="71"/>
  <c r="K51" i="72"/>
  <c r="L58" i="73"/>
  <c r="K58" i="73"/>
  <c r="O18" i="74"/>
  <c r="N18" i="74"/>
  <c r="O31" i="75"/>
  <c r="N31" i="75"/>
  <c r="N39" i="75"/>
  <c r="O39" i="75"/>
  <c r="J51" i="79"/>
  <c r="K51" i="79"/>
  <c r="G12" i="80"/>
  <c r="H12" i="80"/>
  <c r="I13" i="80"/>
  <c r="J25" i="80"/>
  <c r="N25" i="80" s="1"/>
  <c r="K25" i="80"/>
  <c r="K24" i="81"/>
  <c r="J24" i="81"/>
  <c r="J31" i="81"/>
  <c r="K31" i="81"/>
  <c r="J49" i="81"/>
  <c r="K49" i="81"/>
  <c r="G34" i="83"/>
  <c r="H34" i="83" s="1"/>
  <c r="J34" i="83" s="1"/>
  <c r="K34" i="83" s="1"/>
  <c r="L34" i="83" s="1"/>
  <c r="R25" i="88"/>
  <c r="R24" i="88"/>
  <c r="R47" i="88"/>
  <c r="R48" i="88" s="1"/>
  <c r="K30" i="50"/>
  <c r="K33" i="50"/>
  <c r="J33" i="50"/>
  <c r="N33" i="50" s="1"/>
  <c r="K51" i="50"/>
  <c r="J51" i="50"/>
  <c r="O51" i="50" s="1"/>
  <c r="J58" i="50"/>
  <c r="I14" i="51"/>
  <c r="J30" i="51"/>
  <c r="K51" i="51"/>
  <c r="K55" i="51"/>
  <c r="H52" i="53"/>
  <c r="N37" i="54"/>
  <c r="O37" i="54"/>
  <c r="O38" i="55"/>
  <c r="O35" i="55" s="1"/>
  <c r="N38" i="55"/>
  <c r="R69" i="58"/>
  <c r="K18" i="59"/>
  <c r="J18" i="59"/>
  <c r="J33" i="59"/>
  <c r="K33" i="59"/>
  <c r="K33" i="60"/>
  <c r="J33" i="60"/>
  <c r="N33" i="60" s="1"/>
  <c r="K61" i="60"/>
  <c r="J61" i="60"/>
  <c r="J56" i="60" s="1"/>
  <c r="G13" i="61"/>
  <c r="K28" i="61"/>
  <c r="J28" i="61"/>
  <c r="K38" i="61"/>
  <c r="J38" i="61"/>
  <c r="J50" i="61"/>
  <c r="K50" i="61"/>
  <c r="K53" i="61"/>
  <c r="J53" i="61"/>
  <c r="G33" i="62"/>
  <c r="H33" i="62" s="1"/>
  <c r="J33" i="62" s="1"/>
  <c r="K33" i="62" s="1"/>
  <c r="L33" i="62" s="1"/>
  <c r="L59" i="62"/>
  <c r="K59" i="62"/>
  <c r="M26" i="64"/>
  <c r="N27" i="64"/>
  <c r="I12" i="69"/>
  <c r="K13" i="69"/>
  <c r="J13" i="69"/>
  <c r="I23" i="69"/>
  <c r="G9" i="69"/>
  <c r="K29" i="69"/>
  <c r="J29" i="69"/>
  <c r="K60" i="69"/>
  <c r="J60" i="69"/>
  <c r="I13" i="70"/>
  <c r="H12" i="70"/>
  <c r="G12" i="70"/>
  <c r="K46" i="70"/>
  <c r="J46" i="70"/>
  <c r="P46" i="70" s="1"/>
  <c r="K60" i="70"/>
  <c r="J60" i="70"/>
  <c r="K15" i="71"/>
  <c r="J15" i="71"/>
  <c r="J26" i="71"/>
  <c r="K26" i="71"/>
  <c r="K29" i="71"/>
  <c r="J29" i="71"/>
  <c r="K49" i="71"/>
  <c r="J49" i="71"/>
  <c r="L15" i="72"/>
  <c r="O15" i="75"/>
  <c r="N15" i="75"/>
  <c r="I57" i="79"/>
  <c r="G56" i="79"/>
  <c r="H56" i="79" s="1"/>
  <c r="K41" i="80"/>
  <c r="J41" i="80"/>
  <c r="P41" i="80" s="1"/>
  <c r="K65" i="80"/>
  <c r="J65" i="80"/>
  <c r="J47" i="81"/>
  <c r="I43" i="81"/>
  <c r="K47" i="81"/>
  <c r="K43" i="81" s="1"/>
  <c r="J19" i="59"/>
  <c r="K19" i="59"/>
  <c r="K59" i="59"/>
  <c r="J59" i="59"/>
  <c r="K26" i="60"/>
  <c r="J26" i="60"/>
  <c r="N26" i="60" s="1"/>
  <c r="K51" i="60"/>
  <c r="J51" i="60"/>
  <c r="O51" i="60" s="1"/>
  <c r="K58" i="60"/>
  <c r="J58" i="60"/>
  <c r="K39" i="61"/>
  <c r="J39" i="61"/>
  <c r="L56" i="63"/>
  <c r="K56" i="63"/>
  <c r="O22" i="64"/>
  <c r="N22" i="64"/>
  <c r="O21" i="65"/>
  <c r="N21" i="65"/>
  <c r="R70" i="67"/>
  <c r="R71" i="67" s="1"/>
  <c r="R94" i="67"/>
  <c r="R93" i="67"/>
  <c r="I56" i="69"/>
  <c r="K57" i="69"/>
  <c r="J57" i="69"/>
  <c r="K64" i="69"/>
  <c r="J64" i="69"/>
  <c r="K16" i="70"/>
  <c r="J16" i="70"/>
  <c r="M16" i="70" s="1"/>
  <c r="J61" i="70"/>
  <c r="K61" i="70"/>
  <c r="K22" i="71"/>
  <c r="J22" i="71"/>
  <c r="K45" i="71"/>
  <c r="J45" i="71"/>
  <c r="K50" i="71"/>
  <c r="J50" i="71"/>
  <c r="K54" i="71"/>
  <c r="J54" i="71"/>
  <c r="G33" i="72"/>
  <c r="H33" i="72" s="1"/>
  <c r="J33" i="72" s="1"/>
  <c r="K33" i="72" s="1"/>
  <c r="L33" i="72" s="1"/>
  <c r="O29" i="74"/>
  <c r="N29" i="74"/>
  <c r="O28" i="75"/>
  <c r="N28" i="75"/>
  <c r="N32" i="75"/>
  <c r="O32" i="75"/>
  <c r="O40" i="75"/>
  <c r="N40" i="75"/>
  <c r="J23" i="80"/>
  <c r="M23" i="80" s="1"/>
  <c r="K23" i="80"/>
  <c r="J46" i="80"/>
  <c r="P46" i="80" s="1"/>
  <c r="K46" i="80"/>
  <c r="J54" i="80"/>
  <c r="O54" i="80" s="1"/>
  <c r="K54" i="80"/>
  <c r="K19" i="81"/>
  <c r="J19" i="81"/>
  <c r="K25" i="81"/>
  <c r="J25" i="81"/>
  <c r="R47" i="89"/>
  <c r="R48" i="89" s="1"/>
  <c r="R70" i="98"/>
  <c r="R71" i="98" s="1"/>
  <c r="R46" i="56"/>
  <c r="R92" i="58"/>
  <c r="I56" i="60"/>
  <c r="G12" i="69"/>
  <c r="H52" i="73"/>
  <c r="I52" i="73" s="1"/>
  <c r="N17" i="74"/>
  <c r="O17" i="74"/>
  <c r="I13" i="79"/>
  <c r="G9" i="79"/>
  <c r="G12" i="79"/>
  <c r="K23" i="79"/>
  <c r="J23" i="79"/>
  <c r="K48" i="80"/>
  <c r="J48" i="80"/>
  <c r="P48" i="80" s="1"/>
  <c r="I14" i="81"/>
  <c r="G13" i="81"/>
  <c r="K56" i="83"/>
  <c r="L56" i="83"/>
  <c r="R25" i="89"/>
  <c r="R24" i="89"/>
  <c r="K31" i="92"/>
  <c r="J31" i="92"/>
  <c r="K53" i="92"/>
  <c r="J53" i="92"/>
  <c r="J17" i="94"/>
  <c r="K17" i="94" s="1"/>
  <c r="L17" i="94" s="1"/>
  <c r="K46" i="100"/>
  <c r="J46" i="100"/>
  <c r="K17" i="101"/>
  <c r="J17" i="101"/>
  <c r="M17" i="101" s="1"/>
  <c r="K27" i="101"/>
  <c r="J27" i="101"/>
  <c r="N27" i="101" s="1"/>
  <c r="N12" i="101" s="1"/>
  <c r="C70" i="101" s="1"/>
  <c r="K49" i="101"/>
  <c r="J49" i="101"/>
  <c r="P49" i="101" s="1"/>
  <c r="N17" i="115"/>
  <c r="N12" i="115" s="1"/>
  <c r="O17" i="115"/>
  <c r="N45" i="116"/>
  <c r="O45" i="116"/>
  <c r="O46" i="55"/>
  <c r="N46" i="55"/>
  <c r="K15" i="59"/>
  <c r="J15" i="59"/>
  <c r="I13" i="60"/>
  <c r="L55" i="63"/>
  <c r="K55" i="63"/>
  <c r="O20" i="65"/>
  <c r="N20" i="65"/>
  <c r="R46" i="67"/>
  <c r="K41" i="69"/>
  <c r="J41" i="69"/>
  <c r="K49" i="69"/>
  <c r="J49" i="69"/>
  <c r="K45" i="70"/>
  <c r="J45" i="70"/>
  <c r="P45" i="70" s="1"/>
  <c r="K54" i="79"/>
  <c r="J54" i="79"/>
  <c r="K18" i="80"/>
  <c r="J18" i="80"/>
  <c r="M18" i="80" s="1"/>
  <c r="J62" i="80"/>
  <c r="K62" i="80"/>
  <c r="K28" i="81"/>
  <c r="J28" i="81"/>
  <c r="K45" i="81"/>
  <c r="J45" i="81"/>
  <c r="K50" i="81"/>
  <c r="J50" i="81"/>
  <c r="J43" i="81" s="1"/>
  <c r="J15" i="82"/>
  <c r="G33" i="82"/>
  <c r="H33" i="82" s="1"/>
  <c r="J33" i="82" s="1"/>
  <c r="K33" i="82" s="1"/>
  <c r="L33" i="82" s="1"/>
  <c r="J53" i="83"/>
  <c r="H52" i="83"/>
  <c r="R71" i="89"/>
  <c r="L60" i="93"/>
  <c r="K60" i="93"/>
  <c r="R47" i="97"/>
  <c r="R48" i="97"/>
  <c r="K38" i="100"/>
  <c r="J38" i="100"/>
  <c r="G56" i="100"/>
  <c r="H56" i="100" s="1"/>
  <c r="I57" i="100"/>
  <c r="K62" i="100"/>
  <c r="J62" i="100"/>
  <c r="R24" i="109"/>
  <c r="R25" i="109" s="1"/>
  <c r="R48" i="109"/>
  <c r="R47" i="109"/>
  <c r="R71" i="109"/>
  <c r="R70" i="109"/>
  <c r="K25" i="110"/>
  <c r="J25" i="110"/>
  <c r="K19" i="111"/>
  <c r="J19" i="111"/>
  <c r="M19" i="111" s="1"/>
  <c r="K21" i="112"/>
  <c r="J21" i="112"/>
  <c r="K39" i="112"/>
  <c r="J39" i="112"/>
  <c r="J15" i="113"/>
  <c r="H13" i="113"/>
  <c r="G33" i="113"/>
  <c r="H33" i="113" s="1"/>
  <c r="J33" i="113" s="1"/>
  <c r="K33" i="113" s="1"/>
  <c r="L33" i="113" s="1"/>
  <c r="N32" i="85"/>
  <c r="O32" i="85"/>
  <c r="R24" i="87"/>
  <c r="R25" i="87" s="1"/>
  <c r="I58" i="90"/>
  <c r="G56" i="90"/>
  <c r="H56" i="90" s="1"/>
  <c r="K53" i="93"/>
  <c r="L53" i="93"/>
  <c r="L12" i="106"/>
  <c r="K12" i="106"/>
  <c r="K9" i="106" s="1"/>
  <c r="M14" i="106"/>
  <c r="O18" i="106"/>
  <c r="N18" i="106"/>
  <c r="O22" i="106"/>
  <c r="N22" i="106"/>
  <c r="O26" i="106"/>
  <c r="N26" i="106"/>
  <c r="O46" i="106"/>
  <c r="N46" i="106"/>
  <c r="K19" i="110"/>
  <c r="J19" i="110"/>
  <c r="K26" i="110"/>
  <c r="J26" i="110"/>
  <c r="K31" i="110"/>
  <c r="J31" i="110"/>
  <c r="N32" i="74"/>
  <c r="O32" i="74"/>
  <c r="R46" i="76"/>
  <c r="K38" i="79"/>
  <c r="J38" i="79"/>
  <c r="J51" i="82"/>
  <c r="K52" i="82"/>
  <c r="K55" i="82"/>
  <c r="K59" i="82"/>
  <c r="O17" i="85"/>
  <c r="N17" i="85"/>
  <c r="O21" i="85"/>
  <c r="N21" i="85"/>
  <c r="O25" i="85"/>
  <c r="N25" i="85"/>
  <c r="O29" i="85"/>
  <c r="K61" i="90"/>
  <c r="K59" i="91"/>
  <c r="J59" i="91"/>
  <c r="R47" i="98"/>
  <c r="R48" i="98"/>
  <c r="R92" i="57"/>
  <c r="K21" i="59"/>
  <c r="K29" i="59"/>
  <c r="K53" i="73"/>
  <c r="L53" i="73"/>
  <c r="L52" i="73" s="1"/>
  <c r="O18" i="75"/>
  <c r="O21" i="75"/>
  <c r="N21" i="75"/>
  <c r="O43" i="75"/>
  <c r="K21" i="79"/>
  <c r="J21" i="79"/>
  <c r="K31" i="79"/>
  <c r="J31" i="79"/>
  <c r="K63" i="79"/>
  <c r="J66" i="79"/>
  <c r="K40" i="80"/>
  <c r="J40" i="80"/>
  <c r="P40" i="80" s="1"/>
  <c r="J49" i="80"/>
  <c r="P49" i="80" s="1"/>
  <c r="G56" i="80"/>
  <c r="H56" i="80" s="1"/>
  <c r="I57" i="80"/>
  <c r="K29" i="81"/>
  <c r="J51" i="81"/>
  <c r="L52" i="82"/>
  <c r="L58" i="83"/>
  <c r="M35" i="85"/>
  <c r="K18" i="90"/>
  <c r="J18" i="90"/>
  <c r="K23" i="90"/>
  <c r="J23" i="90"/>
  <c r="K34" i="90"/>
  <c r="J34" i="90"/>
  <c r="K52" i="91"/>
  <c r="J52" i="91"/>
  <c r="O52" i="91" s="1"/>
  <c r="J36" i="92"/>
  <c r="K36" i="92"/>
  <c r="N26" i="96"/>
  <c r="O26" i="96"/>
  <c r="O37" i="96"/>
  <c r="N37" i="96"/>
  <c r="N45" i="96"/>
  <c r="O45" i="96"/>
  <c r="L59" i="63"/>
  <c r="K59" i="63"/>
  <c r="O16" i="65"/>
  <c r="N16" i="65"/>
  <c r="O24" i="65"/>
  <c r="N24" i="65"/>
  <c r="R46" i="68"/>
  <c r="K37" i="69"/>
  <c r="J37" i="69"/>
  <c r="K45" i="69"/>
  <c r="J45" i="69"/>
  <c r="K53" i="69"/>
  <c r="J53" i="69"/>
  <c r="K63" i="69"/>
  <c r="J63" i="69"/>
  <c r="G56" i="70"/>
  <c r="H56" i="70" s="1"/>
  <c r="O27" i="74"/>
  <c r="N27" i="74"/>
  <c r="K25" i="79"/>
  <c r="J25" i="79"/>
  <c r="K32" i="79"/>
  <c r="J32" i="79"/>
  <c r="K26" i="80"/>
  <c r="J26" i="80"/>
  <c r="N26" i="80" s="1"/>
  <c r="J53" i="82"/>
  <c r="H51" i="82"/>
  <c r="K56" i="82"/>
  <c r="L56" i="82"/>
  <c r="K15" i="83"/>
  <c r="J13" i="83"/>
  <c r="O27" i="84"/>
  <c r="N27" i="84"/>
  <c r="M26" i="84"/>
  <c r="N41" i="85"/>
  <c r="O41" i="85"/>
  <c r="K14" i="90"/>
  <c r="J14" i="90"/>
  <c r="K24" i="90"/>
  <c r="J24" i="90"/>
  <c r="K29" i="90"/>
  <c r="J29" i="90"/>
  <c r="N22" i="95"/>
  <c r="O22" i="95"/>
  <c r="N33" i="95"/>
  <c r="O33" i="95"/>
  <c r="O17" i="96"/>
  <c r="N17" i="96"/>
  <c r="K32" i="102"/>
  <c r="J32" i="102"/>
  <c r="R23" i="57"/>
  <c r="G56" i="60"/>
  <c r="H56" i="60" s="1"/>
  <c r="K12" i="65"/>
  <c r="K9" i="65" s="1"/>
  <c r="J19" i="69"/>
  <c r="J35" i="69"/>
  <c r="K31" i="70"/>
  <c r="J40" i="70"/>
  <c r="P40" i="70" s="1"/>
  <c r="K50" i="70"/>
  <c r="I57" i="70"/>
  <c r="L12" i="74"/>
  <c r="K12" i="74"/>
  <c r="K9" i="74" s="1"/>
  <c r="N16" i="74"/>
  <c r="O19" i="74"/>
  <c r="N33" i="74"/>
  <c r="O22" i="75"/>
  <c r="O30" i="75"/>
  <c r="J22" i="79"/>
  <c r="K49" i="79"/>
  <c r="J20" i="80"/>
  <c r="M20" i="80" s="1"/>
  <c r="K29" i="80"/>
  <c r="J29" i="80"/>
  <c r="N29" i="80" s="1"/>
  <c r="J47" i="80"/>
  <c r="P47" i="80" s="1"/>
  <c r="K47" i="80"/>
  <c r="K60" i="80"/>
  <c r="K64" i="80"/>
  <c r="K39" i="81"/>
  <c r="J39" i="81"/>
  <c r="K52" i="81"/>
  <c r="K55" i="83"/>
  <c r="K59" i="83"/>
  <c r="O37" i="85"/>
  <c r="O35" i="85" s="1"/>
  <c r="N37" i="85"/>
  <c r="R70" i="88"/>
  <c r="R71" i="88"/>
  <c r="K15" i="90"/>
  <c r="J15" i="90"/>
  <c r="K29" i="91"/>
  <c r="J29" i="91"/>
  <c r="N29" i="91" s="1"/>
  <c r="K26" i="102"/>
  <c r="J26" i="102"/>
  <c r="O28" i="85"/>
  <c r="N28" i="85"/>
  <c r="R46" i="86"/>
  <c r="K28" i="90"/>
  <c r="J28" i="90"/>
  <c r="K33" i="90"/>
  <c r="J33" i="90"/>
  <c r="I12" i="91"/>
  <c r="K13" i="91"/>
  <c r="J13" i="91"/>
  <c r="K28" i="91"/>
  <c r="J28" i="91"/>
  <c r="N28" i="91" s="1"/>
  <c r="K40" i="91"/>
  <c r="J40" i="91"/>
  <c r="P40" i="91" s="1"/>
  <c r="K23" i="92"/>
  <c r="J23" i="92"/>
  <c r="K35" i="92"/>
  <c r="J35" i="92"/>
  <c r="L52" i="93"/>
  <c r="J51" i="93"/>
  <c r="K52" i="93"/>
  <c r="K57" i="94"/>
  <c r="L57" i="94"/>
  <c r="O28" i="95"/>
  <c r="O26" i="95" s="1"/>
  <c r="N28" i="95"/>
  <c r="N36" i="95"/>
  <c r="O36" i="95"/>
  <c r="K18" i="100"/>
  <c r="J18" i="100"/>
  <c r="K34" i="100"/>
  <c r="J34" i="100"/>
  <c r="K54" i="100"/>
  <c r="J54" i="100"/>
  <c r="K23" i="101"/>
  <c r="J23" i="101"/>
  <c r="M23" i="101" s="1"/>
  <c r="G13" i="102"/>
  <c r="I15" i="102"/>
  <c r="I10" i="102" s="1"/>
  <c r="K45" i="102"/>
  <c r="J45" i="102"/>
  <c r="K51" i="102"/>
  <c r="J51" i="102"/>
  <c r="K26" i="111"/>
  <c r="J26" i="111"/>
  <c r="N26" i="111" s="1"/>
  <c r="K40" i="111"/>
  <c r="J40" i="111"/>
  <c r="P40" i="111" s="1"/>
  <c r="K27" i="112"/>
  <c r="J27" i="112"/>
  <c r="M14" i="85"/>
  <c r="L12" i="85"/>
  <c r="K12" i="85"/>
  <c r="R92" i="89"/>
  <c r="K19" i="90"/>
  <c r="J19" i="90"/>
  <c r="K30" i="90"/>
  <c r="J30" i="90"/>
  <c r="K35" i="90"/>
  <c r="J35" i="90"/>
  <c r="G56" i="91"/>
  <c r="H56" i="91" s="1"/>
  <c r="I57" i="91"/>
  <c r="K24" i="92"/>
  <c r="J24" i="92"/>
  <c r="K33" i="92"/>
  <c r="J33" i="92"/>
  <c r="G43" i="92"/>
  <c r="H43" i="92" s="1"/>
  <c r="G33" i="93"/>
  <c r="H33" i="93" s="1"/>
  <c r="J33" i="93" s="1"/>
  <c r="K33" i="93" s="1"/>
  <c r="L33" i="93" s="1"/>
  <c r="H13" i="93"/>
  <c r="K61" i="93"/>
  <c r="L61" i="93"/>
  <c r="H52" i="94"/>
  <c r="N31" i="96"/>
  <c r="O31" i="96"/>
  <c r="N42" i="96"/>
  <c r="O42" i="96"/>
  <c r="K35" i="101"/>
  <c r="J35" i="101"/>
  <c r="N35" i="101" s="1"/>
  <c r="K22" i="102"/>
  <c r="J22" i="102"/>
  <c r="K27" i="102"/>
  <c r="J27" i="102"/>
  <c r="K48" i="102"/>
  <c r="J48" i="102"/>
  <c r="O38" i="106"/>
  <c r="N38" i="106"/>
  <c r="K48" i="111"/>
  <c r="J48" i="111"/>
  <c r="P48" i="111" s="1"/>
  <c r="G56" i="111"/>
  <c r="H56" i="111" s="1"/>
  <c r="I57" i="111"/>
  <c r="K60" i="111"/>
  <c r="J60" i="111"/>
  <c r="K41" i="81"/>
  <c r="J41" i="81"/>
  <c r="O14" i="84"/>
  <c r="M12" i="84"/>
  <c r="M9" i="84" s="1"/>
  <c r="K20" i="90"/>
  <c r="J20" i="90"/>
  <c r="K25" i="90"/>
  <c r="J25" i="90"/>
  <c r="K36" i="90"/>
  <c r="J36" i="90"/>
  <c r="K44" i="91"/>
  <c r="J44" i="91"/>
  <c r="P44" i="91" s="1"/>
  <c r="K47" i="91"/>
  <c r="J47" i="91"/>
  <c r="P47" i="91" s="1"/>
  <c r="G13" i="92"/>
  <c r="K16" i="92"/>
  <c r="J16" i="92"/>
  <c r="K25" i="92"/>
  <c r="J25" i="92"/>
  <c r="K28" i="92"/>
  <c r="J28" i="92"/>
  <c r="J45" i="92"/>
  <c r="J43" i="92" s="1"/>
  <c r="K45" i="92"/>
  <c r="K15" i="93"/>
  <c r="J13" i="93"/>
  <c r="J9" i="93" s="1"/>
  <c r="K59" i="94"/>
  <c r="L59" i="94"/>
  <c r="N23" i="95"/>
  <c r="O23" i="95"/>
  <c r="N34" i="95"/>
  <c r="O34" i="95"/>
  <c r="N18" i="96"/>
  <c r="O18" i="96"/>
  <c r="K26" i="100"/>
  <c r="J26" i="100"/>
  <c r="K38" i="101"/>
  <c r="J38" i="101"/>
  <c r="N38" i="101" s="1"/>
  <c r="K66" i="101"/>
  <c r="J66" i="101"/>
  <c r="C73" i="101" s="1"/>
  <c r="K39" i="102"/>
  <c r="J39" i="102"/>
  <c r="I43" i="102"/>
  <c r="O28" i="105"/>
  <c r="N28" i="105"/>
  <c r="O31" i="105"/>
  <c r="N31" i="105"/>
  <c r="K21" i="110"/>
  <c r="J21" i="110"/>
  <c r="H12" i="111"/>
  <c r="G12" i="111"/>
  <c r="I13" i="111"/>
  <c r="K38" i="111"/>
  <c r="J38" i="111"/>
  <c r="N38" i="111" s="1"/>
  <c r="G13" i="112"/>
  <c r="I14" i="112"/>
  <c r="K32" i="112"/>
  <c r="J32" i="112"/>
  <c r="R92" i="77"/>
  <c r="K19" i="79"/>
  <c r="J19" i="79"/>
  <c r="K35" i="79"/>
  <c r="J35" i="79"/>
  <c r="K33" i="81"/>
  <c r="G43" i="81"/>
  <c r="H43" i="81" s="1"/>
  <c r="J53" i="81"/>
  <c r="K57" i="82"/>
  <c r="L60" i="82"/>
  <c r="K57" i="83"/>
  <c r="L60" i="83"/>
  <c r="N14" i="84"/>
  <c r="O30" i="85"/>
  <c r="O39" i="85"/>
  <c r="R46" i="87"/>
  <c r="R92" i="88"/>
  <c r="K16" i="90"/>
  <c r="J16" i="90"/>
  <c r="K26" i="90"/>
  <c r="J26" i="90"/>
  <c r="K31" i="90"/>
  <c r="J31" i="90"/>
  <c r="K21" i="91"/>
  <c r="J21" i="91"/>
  <c r="M21" i="91" s="1"/>
  <c r="K24" i="91"/>
  <c r="J24" i="91"/>
  <c r="M24" i="91" s="1"/>
  <c r="K27" i="91"/>
  <c r="J27" i="91"/>
  <c r="N27" i="91" s="1"/>
  <c r="J65" i="91"/>
  <c r="G10" i="92"/>
  <c r="I14" i="92"/>
  <c r="K51" i="92"/>
  <c r="K43" i="92" s="1"/>
  <c r="G34" i="94"/>
  <c r="H34" i="94" s="1"/>
  <c r="J34" i="94" s="1"/>
  <c r="K34" i="94" s="1"/>
  <c r="L34" i="94" s="1"/>
  <c r="J15" i="94"/>
  <c r="K26" i="95"/>
  <c r="L26" i="95" s="1"/>
  <c r="N32" i="96"/>
  <c r="O32" i="96"/>
  <c r="N43" i="96"/>
  <c r="O43" i="96"/>
  <c r="R71" i="99"/>
  <c r="R70" i="99"/>
  <c r="J36" i="100"/>
  <c r="K31" i="101"/>
  <c r="J31" i="101"/>
  <c r="N31" i="101" s="1"/>
  <c r="K52" i="101"/>
  <c r="J52" i="101"/>
  <c r="O52" i="101" s="1"/>
  <c r="G56" i="101"/>
  <c r="H56" i="101" s="1"/>
  <c r="K60" i="101"/>
  <c r="J60" i="101"/>
  <c r="K24" i="102"/>
  <c r="J24" i="102"/>
  <c r="K34" i="111"/>
  <c r="J34" i="111"/>
  <c r="N34" i="111" s="1"/>
  <c r="G43" i="112"/>
  <c r="H43" i="112" s="1"/>
  <c r="I47" i="112"/>
  <c r="I43" i="112" s="1"/>
  <c r="R92" i="78"/>
  <c r="K29" i="79"/>
  <c r="J29" i="79"/>
  <c r="H13" i="83"/>
  <c r="K12" i="84"/>
  <c r="K9" i="84" s="1"/>
  <c r="M15" i="84"/>
  <c r="O15" i="85"/>
  <c r="N15" i="85"/>
  <c r="O19" i="85"/>
  <c r="N19" i="85"/>
  <c r="O23" i="85"/>
  <c r="N23" i="85"/>
  <c r="O27" i="85"/>
  <c r="N27" i="85"/>
  <c r="K35" i="85"/>
  <c r="L35" i="85" s="1"/>
  <c r="I9" i="90"/>
  <c r="K13" i="90"/>
  <c r="K21" i="90"/>
  <c r="J21" i="90"/>
  <c r="K32" i="90"/>
  <c r="J32" i="90"/>
  <c r="I56" i="90"/>
  <c r="K57" i="90"/>
  <c r="K33" i="91"/>
  <c r="J33" i="91"/>
  <c r="N33" i="91" s="1"/>
  <c r="N12" i="91" s="1"/>
  <c r="C70" i="91" s="1"/>
  <c r="K36" i="91"/>
  <c r="J36" i="91"/>
  <c r="N36" i="91" s="1"/>
  <c r="K39" i="91"/>
  <c r="J39" i="91"/>
  <c r="N39" i="91" s="1"/>
  <c r="K48" i="91"/>
  <c r="J48" i="91"/>
  <c r="P48" i="91" s="1"/>
  <c r="O12" i="91"/>
  <c r="C71" i="91" s="1"/>
  <c r="K20" i="92"/>
  <c r="J20" i="92"/>
  <c r="J26" i="92"/>
  <c r="K55" i="93"/>
  <c r="L55" i="93"/>
  <c r="L56" i="94"/>
  <c r="L52" i="94" s="1"/>
  <c r="K56" i="94"/>
  <c r="K52" i="94" s="1"/>
  <c r="N20" i="95"/>
  <c r="O20" i="95"/>
  <c r="M26" i="95"/>
  <c r="O27" i="95"/>
  <c r="N27" i="95"/>
  <c r="N31" i="95"/>
  <c r="O31" i="95"/>
  <c r="K35" i="96"/>
  <c r="L35" i="96" s="1"/>
  <c r="R25" i="97"/>
  <c r="R3" i="97" s="1"/>
  <c r="V5" i="97" s="1"/>
  <c r="R24" i="97"/>
  <c r="J21" i="103"/>
  <c r="K21" i="103" s="1"/>
  <c r="L21" i="103" s="1"/>
  <c r="G33" i="103"/>
  <c r="H33" i="103" s="1"/>
  <c r="J33" i="103" s="1"/>
  <c r="K33" i="103" s="1"/>
  <c r="L33" i="103" s="1"/>
  <c r="K57" i="110"/>
  <c r="K30" i="112"/>
  <c r="J30" i="112"/>
  <c r="K26" i="84"/>
  <c r="L26" i="84" s="1"/>
  <c r="O36" i="85"/>
  <c r="N36" i="85"/>
  <c r="N35" i="85" s="1"/>
  <c r="R23" i="86"/>
  <c r="K22" i="90"/>
  <c r="J22" i="90"/>
  <c r="K27" i="90"/>
  <c r="J27" i="90"/>
  <c r="H12" i="91"/>
  <c r="G12" i="91"/>
  <c r="K15" i="91"/>
  <c r="J15" i="91"/>
  <c r="M15" i="91" s="1"/>
  <c r="K18" i="91"/>
  <c r="J18" i="91"/>
  <c r="M18" i="91" s="1"/>
  <c r="J40" i="92"/>
  <c r="K40" i="92"/>
  <c r="L56" i="93"/>
  <c r="K56" i="93"/>
  <c r="O25" i="96"/>
  <c r="O12" i="96" s="1"/>
  <c r="N25" i="96"/>
  <c r="N12" i="96" s="1"/>
  <c r="O29" i="96"/>
  <c r="N29" i="96"/>
  <c r="M35" i="96"/>
  <c r="O36" i="96"/>
  <c r="N36" i="96"/>
  <c r="N40" i="96"/>
  <c r="O40" i="96"/>
  <c r="K33" i="101"/>
  <c r="J33" i="101"/>
  <c r="N33" i="101" s="1"/>
  <c r="K18" i="102"/>
  <c r="J18" i="102"/>
  <c r="R24" i="108"/>
  <c r="R25" i="108" s="1"/>
  <c r="K35" i="110"/>
  <c r="J35" i="110"/>
  <c r="I61" i="110"/>
  <c r="G56" i="110"/>
  <c r="H56" i="110" s="1"/>
  <c r="K65" i="110"/>
  <c r="J65" i="110"/>
  <c r="K44" i="112"/>
  <c r="J44" i="112"/>
  <c r="N41" i="116"/>
  <c r="O41" i="116"/>
  <c r="H52" i="104"/>
  <c r="J53" i="104"/>
  <c r="L57" i="104"/>
  <c r="K57" i="104"/>
  <c r="L61" i="104"/>
  <c r="K61" i="104"/>
  <c r="I12" i="110"/>
  <c r="K13" i="110"/>
  <c r="K24" i="110"/>
  <c r="J24" i="110"/>
  <c r="K29" i="110"/>
  <c r="J29" i="110"/>
  <c r="K39" i="110"/>
  <c r="J39" i="110"/>
  <c r="K43" i="110"/>
  <c r="J43" i="110"/>
  <c r="K47" i="110"/>
  <c r="J47" i="110"/>
  <c r="K51" i="110"/>
  <c r="J51" i="110"/>
  <c r="J32" i="111"/>
  <c r="N32" i="111" s="1"/>
  <c r="K36" i="111"/>
  <c r="J36" i="111"/>
  <c r="N36" i="111" s="1"/>
  <c r="K45" i="111"/>
  <c r="J45" i="111"/>
  <c r="P45" i="111" s="1"/>
  <c r="K16" i="112"/>
  <c r="J16" i="112"/>
  <c r="J19" i="112"/>
  <c r="K46" i="112"/>
  <c r="J46" i="112"/>
  <c r="K52" i="112"/>
  <c r="J52" i="112"/>
  <c r="G34" i="114"/>
  <c r="H34" i="114" s="1"/>
  <c r="J34" i="114" s="1"/>
  <c r="K34" i="114" s="1"/>
  <c r="L34" i="114" s="1"/>
  <c r="J16" i="114"/>
  <c r="K16" i="114" s="1"/>
  <c r="L16" i="114" s="1"/>
  <c r="M35" i="116"/>
  <c r="O36" i="116"/>
  <c r="N36" i="116"/>
  <c r="N35" i="116" s="1"/>
  <c r="R47" i="118"/>
  <c r="R48" i="118" s="1"/>
  <c r="G12" i="90"/>
  <c r="K12" i="95"/>
  <c r="K9" i="95" s="1"/>
  <c r="R92" i="98"/>
  <c r="G9" i="100"/>
  <c r="G12" i="100"/>
  <c r="I13" i="100"/>
  <c r="K17" i="100"/>
  <c r="J17" i="100"/>
  <c r="K43" i="101"/>
  <c r="J43" i="101"/>
  <c r="P43" i="101" s="1"/>
  <c r="K59" i="101"/>
  <c r="J59" i="101"/>
  <c r="K38" i="102"/>
  <c r="J38" i="102"/>
  <c r="J13" i="103"/>
  <c r="L55" i="103"/>
  <c r="K55" i="103"/>
  <c r="L59" i="103"/>
  <c r="K59" i="103"/>
  <c r="G34" i="104"/>
  <c r="H34" i="104" s="1"/>
  <c r="J34" i="104" s="1"/>
  <c r="K34" i="104" s="1"/>
  <c r="L34" i="104" s="1"/>
  <c r="H13" i="104"/>
  <c r="N16" i="105"/>
  <c r="N12" i="105" s="1"/>
  <c r="K26" i="105"/>
  <c r="L26" i="105" s="1"/>
  <c r="M27" i="105"/>
  <c r="N29" i="106"/>
  <c r="N31" i="106"/>
  <c r="O37" i="106"/>
  <c r="N37" i="106"/>
  <c r="R46" i="107"/>
  <c r="J13" i="110"/>
  <c r="K30" i="110"/>
  <c r="J30" i="110"/>
  <c r="K18" i="111"/>
  <c r="J18" i="111"/>
  <c r="M18" i="111" s="1"/>
  <c r="K22" i="111"/>
  <c r="J22" i="111"/>
  <c r="M22" i="111" s="1"/>
  <c r="K25" i="111"/>
  <c r="J25" i="111"/>
  <c r="N25" i="111" s="1"/>
  <c r="K33" i="111"/>
  <c r="J33" i="111"/>
  <c r="N33" i="111" s="1"/>
  <c r="K29" i="112"/>
  <c r="J29" i="112"/>
  <c r="K41" i="112"/>
  <c r="J41" i="112"/>
  <c r="L53" i="113"/>
  <c r="K53" i="113"/>
  <c r="K51" i="113" s="1"/>
  <c r="O16" i="95"/>
  <c r="O19" i="95"/>
  <c r="O30" i="95"/>
  <c r="O20" i="96"/>
  <c r="N28" i="96"/>
  <c r="O39" i="96"/>
  <c r="J64" i="100"/>
  <c r="K32" i="101"/>
  <c r="J32" i="101"/>
  <c r="N32" i="101" s="1"/>
  <c r="K65" i="101"/>
  <c r="J65" i="101"/>
  <c r="K14" i="102"/>
  <c r="J14" i="102"/>
  <c r="K23" i="102"/>
  <c r="G43" i="102"/>
  <c r="H43" i="102" s="1"/>
  <c r="K15" i="103"/>
  <c r="J15" i="104"/>
  <c r="M12" i="105"/>
  <c r="O14" i="105"/>
  <c r="O12" i="105" s="1"/>
  <c r="N33" i="105"/>
  <c r="N40" i="106"/>
  <c r="K20" i="110"/>
  <c r="J20" i="110"/>
  <c r="K15" i="111"/>
  <c r="J15" i="111"/>
  <c r="M15" i="111" s="1"/>
  <c r="K37" i="111"/>
  <c r="J37" i="111"/>
  <c r="N37" i="111" s="1"/>
  <c r="K20" i="112"/>
  <c r="J20" i="112"/>
  <c r="K26" i="112"/>
  <c r="J26" i="112"/>
  <c r="J34" i="112"/>
  <c r="K38" i="112"/>
  <c r="J38" i="112"/>
  <c r="K55" i="114"/>
  <c r="O36" i="115"/>
  <c r="R47" i="119"/>
  <c r="R48" i="119" s="1"/>
  <c r="G9" i="90"/>
  <c r="J52" i="94"/>
  <c r="L12" i="95"/>
  <c r="M14" i="95"/>
  <c r="M12" i="96"/>
  <c r="M9" i="96" s="1"/>
  <c r="R23" i="99"/>
  <c r="R46" i="99"/>
  <c r="I13" i="101"/>
  <c r="G9" i="101"/>
  <c r="I56" i="101"/>
  <c r="K61" i="101"/>
  <c r="J61" i="101"/>
  <c r="K34" i="102"/>
  <c r="J34" i="102"/>
  <c r="L55" i="104"/>
  <c r="K55" i="104"/>
  <c r="L59" i="104"/>
  <c r="K59" i="104"/>
  <c r="K32" i="110"/>
  <c r="J32" i="110"/>
  <c r="K37" i="110"/>
  <c r="J37" i="110"/>
  <c r="K41" i="110"/>
  <c r="J41" i="110"/>
  <c r="K45" i="110"/>
  <c r="J45" i="110"/>
  <c r="K49" i="110"/>
  <c r="J49" i="110"/>
  <c r="K53" i="110"/>
  <c r="J53" i="110"/>
  <c r="K16" i="111"/>
  <c r="J16" i="111"/>
  <c r="M16" i="111" s="1"/>
  <c r="K52" i="111"/>
  <c r="J52" i="111"/>
  <c r="O52" i="111" s="1"/>
  <c r="O12" i="111" s="1"/>
  <c r="C71" i="111" s="1"/>
  <c r="K35" i="112"/>
  <c r="J35" i="112"/>
  <c r="K54" i="112"/>
  <c r="J54" i="112"/>
  <c r="H13" i="114"/>
  <c r="N34" i="115"/>
  <c r="O34" i="115"/>
  <c r="O17" i="116"/>
  <c r="N17" i="116"/>
  <c r="M12" i="116"/>
  <c r="M9" i="116" s="1"/>
  <c r="O25" i="116"/>
  <c r="N25" i="116"/>
  <c r="N12" i="116" s="1"/>
  <c r="N9" i="116" s="1"/>
  <c r="J59" i="120"/>
  <c r="K59" i="120"/>
  <c r="R23" i="98"/>
  <c r="K15" i="100"/>
  <c r="J15" i="100"/>
  <c r="K50" i="101"/>
  <c r="J50" i="101"/>
  <c r="O50" i="101" s="1"/>
  <c r="K19" i="102"/>
  <c r="J19" i="102"/>
  <c r="K30" i="102"/>
  <c r="J30" i="102"/>
  <c r="L53" i="103"/>
  <c r="K53" i="103"/>
  <c r="K51" i="103" s="1"/>
  <c r="L57" i="103"/>
  <c r="K57" i="103"/>
  <c r="L61" i="103"/>
  <c r="L51" i="103" s="1"/>
  <c r="I51" i="103" s="1"/>
  <c r="K61" i="103"/>
  <c r="R46" i="108"/>
  <c r="R69" i="108"/>
  <c r="R92" i="109"/>
  <c r="K22" i="110"/>
  <c r="J22" i="110"/>
  <c r="K27" i="110"/>
  <c r="J27" i="110"/>
  <c r="K58" i="110"/>
  <c r="J58" i="110"/>
  <c r="K29" i="111"/>
  <c r="J29" i="111"/>
  <c r="N29" i="111" s="1"/>
  <c r="K50" i="112"/>
  <c r="J50" i="112"/>
  <c r="N21" i="115"/>
  <c r="O21" i="115"/>
  <c r="O28" i="116"/>
  <c r="N28" i="116"/>
  <c r="R24" i="117"/>
  <c r="R25" i="117" s="1"/>
  <c r="R3" i="117" s="1"/>
  <c r="V5" i="117" s="1"/>
  <c r="R47" i="117"/>
  <c r="R48" i="117" s="1"/>
  <c r="J23" i="120"/>
  <c r="K23" i="120"/>
  <c r="J31" i="120"/>
  <c r="K31" i="120"/>
  <c r="H12" i="95"/>
  <c r="R92" i="99"/>
  <c r="K19" i="101"/>
  <c r="J19" i="101"/>
  <c r="M19" i="101" s="1"/>
  <c r="K62" i="101"/>
  <c r="J62" i="101"/>
  <c r="K44" i="102"/>
  <c r="J44" i="102"/>
  <c r="K50" i="102"/>
  <c r="K43" i="102" s="1"/>
  <c r="J50" i="102"/>
  <c r="K28" i="110"/>
  <c r="J28" i="110"/>
  <c r="K33" i="110"/>
  <c r="J33" i="110"/>
  <c r="K44" i="111"/>
  <c r="J44" i="111"/>
  <c r="P44" i="111" s="1"/>
  <c r="K53" i="111"/>
  <c r="J53" i="111"/>
  <c r="O53" i="111" s="1"/>
  <c r="K36" i="112"/>
  <c r="J36" i="112"/>
  <c r="K13" i="114"/>
  <c r="L60" i="114"/>
  <c r="K60" i="114"/>
  <c r="J46" i="92"/>
  <c r="I43" i="92"/>
  <c r="H51" i="93"/>
  <c r="K14" i="101"/>
  <c r="J14" i="101"/>
  <c r="M14" i="101" s="1"/>
  <c r="K42" i="101"/>
  <c r="J42" i="101"/>
  <c r="P42" i="101" s="1"/>
  <c r="P12" i="101" s="1"/>
  <c r="K51" i="101"/>
  <c r="J51" i="101"/>
  <c r="O51" i="101" s="1"/>
  <c r="K54" i="101"/>
  <c r="J54" i="101"/>
  <c r="O54" i="101" s="1"/>
  <c r="K63" i="101"/>
  <c r="J63" i="101"/>
  <c r="H12" i="106"/>
  <c r="O16" i="106"/>
  <c r="N16" i="106"/>
  <c r="O20" i="106"/>
  <c r="N20" i="106"/>
  <c r="O24" i="106"/>
  <c r="N24" i="106"/>
  <c r="O28" i="106"/>
  <c r="N28" i="106"/>
  <c r="K35" i="106"/>
  <c r="L35" i="106" s="1"/>
  <c r="M36" i="106"/>
  <c r="R23" i="107"/>
  <c r="R93" i="108"/>
  <c r="R94" i="108" s="1"/>
  <c r="G9" i="110"/>
  <c r="K18" i="110"/>
  <c r="J18" i="110"/>
  <c r="K23" i="110"/>
  <c r="J23" i="110"/>
  <c r="K34" i="110"/>
  <c r="J34" i="110"/>
  <c r="K59" i="110"/>
  <c r="J59" i="110"/>
  <c r="K63" i="110"/>
  <c r="J63" i="110"/>
  <c r="K21" i="111"/>
  <c r="J21" i="111"/>
  <c r="M21" i="111" s="1"/>
  <c r="K24" i="112"/>
  <c r="J24" i="112"/>
  <c r="K28" i="112"/>
  <c r="J28" i="112"/>
  <c r="K40" i="112"/>
  <c r="J40" i="112"/>
  <c r="L13" i="114"/>
  <c r="K27" i="121"/>
  <c r="J27" i="121"/>
  <c r="N27" i="121" s="1"/>
  <c r="R71" i="118"/>
  <c r="R70" i="118"/>
  <c r="R94" i="118"/>
  <c r="K22" i="120"/>
  <c r="J22" i="120"/>
  <c r="K30" i="120"/>
  <c r="J30" i="120"/>
  <c r="K58" i="120"/>
  <c r="J58" i="120"/>
  <c r="K26" i="121"/>
  <c r="J26" i="121"/>
  <c r="N26" i="121" s="1"/>
  <c r="K44" i="121"/>
  <c r="J44" i="121"/>
  <c r="P44" i="121" s="1"/>
  <c r="J48" i="121"/>
  <c r="P48" i="121" s="1"/>
  <c r="K48" i="121"/>
  <c r="K60" i="121"/>
  <c r="J60" i="121"/>
  <c r="K64" i="121"/>
  <c r="J64" i="121"/>
  <c r="K22" i="122"/>
  <c r="J22" i="122"/>
  <c r="K45" i="122"/>
  <c r="J45" i="122"/>
  <c r="N31" i="125"/>
  <c r="O31" i="125"/>
  <c r="O46" i="126"/>
  <c r="N46" i="126"/>
  <c r="K38" i="131"/>
  <c r="J38" i="131"/>
  <c r="K15" i="132"/>
  <c r="J15" i="132"/>
  <c r="M15" i="132" s="1"/>
  <c r="K58" i="132"/>
  <c r="J58" i="132"/>
  <c r="I57" i="121"/>
  <c r="G56" i="121"/>
  <c r="H56" i="121" s="1"/>
  <c r="K30" i="122"/>
  <c r="J30" i="122"/>
  <c r="K33" i="122"/>
  <c r="J33" i="122"/>
  <c r="K40" i="122"/>
  <c r="J40" i="122"/>
  <c r="K49" i="122"/>
  <c r="J49" i="122"/>
  <c r="L61" i="123"/>
  <c r="K61" i="123"/>
  <c r="M35" i="126"/>
  <c r="O36" i="126"/>
  <c r="N36" i="126"/>
  <c r="K51" i="131"/>
  <c r="J51" i="131"/>
  <c r="K60" i="131"/>
  <c r="J60" i="131"/>
  <c r="K29" i="132"/>
  <c r="J29" i="132"/>
  <c r="N29" i="132" s="1"/>
  <c r="K50" i="133"/>
  <c r="J50" i="133"/>
  <c r="O15" i="136"/>
  <c r="N15" i="136"/>
  <c r="O33" i="136"/>
  <c r="N33" i="136"/>
  <c r="O37" i="137"/>
  <c r="N37" i="137"/>
  <c r="O42" i="137"/>
  <c r="N42" i="137"/>
  <c r="K15" i="141"/>
  <c r="J15" i="141"/>
  <c r="J51" i="103"/>
  <c r="K12" i="105"/>
  <c r="G12" i="110"/>
  <c r="J51" i="113"/>
  <c r="L58" i="114"/>
  <c r="K58" i="114"/>
  <c r="K12" i="115"/>
  <c r="K12" i="116"/>
  <c r="K9" i="116" s="1"/>
  <c r="O15" i="116"/>
  <c r="O12" i="116" s="1"/>
  <c r="N15" i="116"/>
  <c r="O23" i="116"/>
  <c r="N23" i="116"/>
  <c r="K14" i="120"/>
  <c r="J14" i="120"/>
  <c r="K24" i="120"/>
  <c r="J24" i="120"/>
  <c r="K32" i="120"/>
  <c r="J32" i="120"/>
  <c r="J13" i="121"/>
  <c r="K13" i="121"/>
  <c r="K52" i="121"/>
  <c r="J52" i="121"/>
  <c r="O52" i="121" s="1"/>
  <c r="O12" i="121" s="1"/>
  <c r="C71" i="121" s="1"/>
  <c r="K19" i="122"/>
  <c r="J19" i="122"/>
  <c r="J41" i="122"/>
  <c r="K41" i="122"/>
  <c r="K46" i="122"/>
  <c r="J46" i="122"/>
  <c r="I43" i="122"/>
  <c r="I10" i="122" s="1"/>
  <c r="L53" i="123"/>
  <c r="J51" i="123"/>
  <c r="K53" i="123"/>
  <c r="J15" i="124"/>
  <c r="G34" i="124"/>
  <c r="H34" i="124" s="1"/>
  <c r="J34" i="124" s="1"/>
  <c r="K34" i="124" s="1"/>
  <c r="L34" i="124" s="1"/>
  <c r="K18" i="131"/>
  <c r="J18" i="131"/>
  <c r="K46" i="131"/>
  <c r="J46" i="131"/>
  <c r="G12" i="132"/>
  <c r="K26" i="132"/>
  <c r="J26" i="132"/>
  <c r="N26" i="132" s="1"/>
  <c r="K35" i="133"/>
  <c r="J35" i="133"/>
  <c r="L54" i="134"/>
  <c r="K54" i="134"/>
  <c r="J51" i="134"/>
  <c r="J13" i="114"/>
  <c r="J9" i="114" s="1"/>
  <c r="O29" i="116"/>
  <c r="N29" i="116"/>
  <c r="R23" i="119"/>
  <c r="J25" i="120"/>
  <c r="K25" i="120"/>
  <c r="J33" i="120"/>
  <c r="K33" i="120"/>
  <c r="K23" i="121"/>
  <c r="J23" i="121"/>
  <c r="M23" i="121" s="1"/>
  <c r="K38" i="121"/>
  <c r="J38" i="121"/>
  <c r="N38" i="121" s="1"/>
  <c r="K15" i="122"/>
  <c r="J15" i="122"/>
  <c r="J13" i="122" s="1"/>
  <c r="I13" i="122"/>
  <c r="K23" i="122"/>
  <c r="J23" i="122"/>
  <c r="K27" i="122"/>
  <c r="J27" i="122"/>
  <c r="G43" i="122"/>
  <c r="H43" i="122" s="1"/>
  <c r="J50" i="122"/>
  <c r="K50" i="122"/>
  <c r="J26" i="123"/>
  <c r="K26" i="123" s="1"/>
  <c r="L26" i="123" s="1"/>
  <c r="H13" i="123"/>
  <c r="O42" i="126"/>
  <c r="N42" i="126"/>
  <c r="R25" i="127"/>
  <c r="R24" i="127"/>
  <c r="R47" i="127"/>
  <c r="R48" i="127" s="1"/>
  <c r="K40" i="131"/>
  <c r="J40" i="131"/>
  <c r="K28" i="133"/>
  <c r="J28" i="133"/>
  <c r="L52" i="114"/>
  <c r="I52" i="114" s="1"/>
  <c r="L56" i="114"/>
  <c r="K56" i="114"/>
  <c r="O29" i="115"/>
  <c r="N29" i="115"/>
  <c r="O21" i="116"/>
  <c r="N21" i="116"/>
  <c r="R69" i="119"/>
  <c r="R92" i="119"/>
  <c r="K18" i="120"/>
  <c r="J18" i="120"/>
  <c r="K26" i="120"/>
  <c r="J26" i="120"/>
  <c r="K34" i="120"/>
  <c r="J34" i="120"/>
  <c r="K17" i="121"/>
  <c r="J17" i="121"/>
  <c r="M17" i="121" s="1"/>
  <c r="K28" i="121"/>
  <c r="J28" i="121"/>
  <c r="N28" i="121" s="1"/>
  <c r="K35" i="121"/>
  <c r="J35" i="121"/>
  <c r="N35" i="121" s="1"/>
  <c r="K58" i="121"/>
  <c r="J58" i="121"/>
  <c r="K62" i="121"/>
  <c r="J62" i="121"/>
  <c r="K66" i="121"/>
  <c r="J66" i="121"/>
  <c r="C73" i="121" s="1"/>
  <c r="K20" i="122"/>
  <c r="J20" i="122"/>
  <c r="K31" i="122"/>
  <c r="J31" i="122"/>
  <c r="K51" i="122"/>
  <c r="J51" i="122"/>
  <c r="J13" i="123"/>
  <c r="J9" i="123" s="1"/>
  <c r="K15" i="123"/>
  <c r="O23" i="125"/>
  <c r="N23" i="125"/>
  <c r="O17" i="126"/>
  <c r="N17" i="126"/>
  <c r="K62" i="131"/>
  <c r="J62" i="131"/>
  <c r="K22" i="132"/>
  <c r="J22" i="132"/>
  <c r="M22" i="132" s="1"/>
  <c r="K27" i="132"/>
  <c r="J27" i="132"/>
  <c r="N27" i="132" s="1"/>
  <c r="K40" i="132"/>
  <c r="J40" i="132"/>
  <c r="P40" i="132" s="1"/>
  <c r="K37" i="133"/>
  <c r="J37" i="133"/>
  <c r="J57" i="101"/>
  <c r="L56" i="113"/>
  <c r="M12" i="115"/>
  <c r="O32" i="115"/>
  <c r="O32" i="116"/>
  <c r="O38" i="116"/>
  <c r="N38" i="116"/>
  <c r="R23" i="118"/>
  <c r="J19" i="120"/>
  <c r="K19" i="120"/>
  <c r="J27" i="120"/>
  <c r="K27" i="120"/>
  <c r="J35" i="120"/>
  <c r="K35" i="120"/>
  <c r="K14" i="121"/>
  <c r="J14" i="121"/>
  <c r="M14" i="121" s="1"/>
  <c r="K24" i="121"/>
  <c r="J24" i="121"/>
  <c r="M24" i="121" s="1"/>
  <c r="J29" i="121"/>
  <c r="N29" i="121" s="1"/>
  <c r="K29" i="121"/>
  <c r="K39" i="121"/>
  <c r="J39" i="121"/>
  <c r="N39" i="121" s="1"/>
  <c r="K46" i="121"/>
  <c r="J46" i="121"/>
  <c r="P46" i="121" s="1"/>
  <c r="K16" i="122"/>
  <c r="J16" i="122"/>
  <c r="J24" i="122"/>
  <c r="K24" i="122"/>
  <c r="K28" i="122"/>
  <c r="J28" i="122"/>
  <c r="O19" i="125"/>
  <c r="N19" i="125"/>
  <c r="K42" i="131"/>
  <c r="J42" i="131"/>
  <c r="K54" i="131"/>
  <c r="J54" i="131"/>
  <c r="K24" i="133"/>
  <c r="J24" i="133"/>
  <c r="K48" i="133"/>
  <c r="J48" i="133"/>
  <c r="G33" i="134"/>
  <c r="H33" i="134" s="1"/>
  <c r="J33" i="134" s="1"/>
  <c r="K33" i="134" s="1"/>
  <c r="L33" i="134" s="1"/>
  <c r="J15" i="134"/>
  <c r="L54" i="114"/>
  <c r="K54" i="114"/>
  <c r="K52" i="114" s="1"/>
  <c r="L62" i="114"/>
  <c r="K62" i="114"/>
  <c r="K26" i="115"/>
  <c r="L26" i="115" s="1"/>
  <c r="O19" i="116"/>
  <c r="N19" i="116"/>
  <c r="O27" i="116"/>
  <c r="N27" i="116"/>
  <c r="K20" i="120"/>
  <c r="J20" i="120"/>
  <c r="K28" i="120"/>
  <c r="J28" i="120"/>
  <c r="K36" i="120"/>
  <c r="J36" i="120"/>
  <c r="G56" i="120"/>
  <c r="H56" i="120" s="1"/>
  <c r="I57" i="120"/>
  <c r="K18" i="121"/>
  <c r="J18" i="121"/>
  <c r="M18" i="121" s="1"/>
  <c r="K21" i="121"/>
  <c r="J21" i="121"/>
  <c r="M21" i="121" s="1"/>
  <c r="K36" i="121"/>
  <c r="J36" i="121"/>
  <c r="N36" i="121" s="1"/>
  <c r="J40" i="121"/>
  <c r="P40" i="121" s="1"/>
  <c r="K40" i="121"/>
  <c r="G13" i="122"/>
  <c r="K25" i="122"/>
  <c r="J25" i="122"/>
  <c r="J10" i="122" s="1"/>
  <c r="K35" i="122"/>
  <c r="J35" i="122"/>
  <c r="K48" i="122"/>
  <c r="J48" i="122"/>
  <c r="O15" i="125"/>
  <c r="N15" i="125"/>
  <c r="O31" i="126"/>
  <c r="N31" i="126"/>
  <c r="O44" i="126"/>
  <c r="N44" i="126"/>
  <c r="K64" i="131"/>
  <c r="J64" i="131"/>
  <c r="J19" i="132"/>
  <c r="M19" i="132" s="1"/>
  <c r="K19" i="132"/>
  <c r="K36" i="132"/>
  <c r="J36" i="132"/>
  <c r="N36" i="132" s="1"/>
  <c r="K54" i="132"/>
  <c r="J54" i="132"/>
  <c r="O54" i="132" s="1"/>
  <c r="K55" i="112"/>
  <c r="L52" i="113"/>
  <c r="L51" i="113" s="1"/>
  <c r="I51" i="113" s="1"/>
  <c r="M27" i="115"/>
  <c r="O30" i="115"/>
  <c r="O30" i="116"/>
  <c r="K35" i="116"/>
  <c r="L35" i="116" s="1"/>
  <c r="K16" i="120"/>
  <c r="J16" i="120"/>
  <c r="J21" i="120"/>
  <c r="K21" i="120"/>
  <c r="J29" i="120"/>
  <c r="K29" i="120"/>
  <c r="G12" i="121"/>
  <c r="I15" i="121"/>
  <c r="K25" i="121"/>
  <c r="K33" i="121"/>
  <c r="J33" i="121"/>
  <c r="N33" i="121" s="1"/>
  <c r="K47" i="121"/>
  <c r="J47" i="121"/>
  <c r="P47" i="121" s="1"/>
  <c r="K54" i="121"/>
  <c r="J54" i="121"/>
  <c r="O54" i="121" s="1"/>
  <c r="K29" i="122"/>
  <c r="K39" i="122"/>
  <c r="J39" i="122"/>
  <c r="J43" i="122"/>
  <c r="L56" i="123"/>
  <c r="L51" i="123" s="1"/>
  <c r="K56" i="123"/>
  <c r="O36" i="125"/>
  <c r="N36" i="125"/>
  <c r="O39" i="126"/>
  <c r="N39" i="126"/>
  <c r="R71" i="129"/>
  <c r="R70" i="129"/>
  <c r="R94" i="129"/>
  <c r="R93" i="129"/>
  <c r="K58" i="131"/>
  <c r="J58" i="131"/>
  <c r="K21" i="133"/>
  <c r="J21" i="133"/>
  <c r="K25" i="133"/>
  <c r="J25" i="133"/>
  <c r="K39" i="133"/>
  <c r="J39" i="133"/>
  <c r="O35" i="125"/>
  <c r="N35" i="125"/>
  <c r="O38" i="126"/>
  <c r="N38" i="126"/>
  <c r="K19" i="131"/>
  <c r="J19" i="131"/>
  <c r="K23" i="131"/>
  <c r="J23" i="131"/>
  <c r="K27" i="131"/>
  <c r="J27" i="131"/>
  <c r="K31" i="131"/>
  <c r="J31" i="131"/>
  <c r="K35" i="131"/>
  <c r="J35" i="131"/>
  <c r="K45" i="131"/>
  <c r="J45" i="131"/>
  <c r="K50" i="131"/>
  <c r="J50" i="131"/>
  <c r="G56" i="131"/>
  <c r="H56" i="131" s="1"/>
  <c r="I57" i="131"/>
  <c r="O20" i="136"/>
  <c r="N20" i="136"/>
  <c r="O32" i="136"/>
  <c r="O26" i="136" s="1"/>
  <c r="N32" i="136"/>
  <c r="O28" i="137"/>
  <c r="N28" i="137"/>
  <c r="K20" i="141"/>
  <c r="J20" i="141"/>
  <c r="K28" i="141"/>
  <c r="J28" i="141"/>
  <c r="K36" i="141"/>
  <c r="J36" i="141"/>
  <c r="K40" i="141"/>
  <c r="J40" i="141"/>
  <c r="K44" i="141"/>
  <c r="J44" i="141"/>
  <c r="K48" i="141"/>
  <c r="J48" i="141"/>
  <c r="K52" i="141"/>
  <c r="J52" i="141"/>
  <c r="K58" i="141"/>
  <c r="J58" i="141"/>
  <c r="K14" i="142"/>
  <c r="J14" i="142"/>
  <c r="M14" i="142" s="1"/>
  <c r="K27" i="142"/>
  <c r="J27" i="142"/>
  <c r="N27" i="142" s="1"/>
  <c r="K43" i="142"/>
  <c r="J43" i="142"/>
  <c r="P43" i="142" s="1"/>
  <c r="K61" i="142"/>
  <c r="J61" i="142"/>
  <c r="K18" i="143"/>
  <c r="J18" i="143"/>
  <c r="K24" i="143"/>
  <c r="J24" i="143"/>
  <c r="J29" i="143"/>
  <c r="K29" i="143"/>
  <c r="K35" i="143"/>
  <c r="J35" i="143"/>
  <c r="K40" i="143"/>
  <c r="J40" i="143"/>
  <c r="I47" i="143"/>
  <c r="G43" i="143"/>
  <c r="H43" i="143" s="1"/>
  <c r="K53" i="143"/>
  <c r="J53" i="143"/>
  <c r="G9" i="120"/>
  <c r="K14" i="122"/>
  <c r="H51" i="123"/>
  <c r="O28" i="125"/>
  <c r="N28" i="125"/>
  <c r="N26" i="125" s="1"/>
  <c r="K12" i="126"/>
  <c r="K9" i="126" s="1"/>
  <c r="O30" i="126"/>
  <c r="N30" i="126"/>
  <c r="O45" i="126"/>
  <c r="N45" i="126"/>
  <c r="I12" i="131"/>
  <c r="K41" i="131"/>
  <c r="J41" i="131"/>
  <c r="K63" i="131"/>
  <c r="J63" i="131"/>
  <c r="K60" i="132"/>
  <c r="J60" i="132"/>
  <c r="K64" i="132"/>
  <c r="J64" i="132"/>
  <c r="K57" i="134"/>
  <c r="L57" i="134"/>
  <c r="O32" i="125"/>
  <c r="N32" i="125"/>
  <c r="O37" i="125"/>
  <c r="N37" i="125"/>
  <c r="M12" i="126"/>
  <c r="M9" i="126" s="1"/>
  <c r="O40" i="126"/>
  <c r="N40" i="126"/>
  <c r="R25" i="130"/>
  <c r="R24" i="130"/>
  <c r="R47" i="130"/>
  <c r="R48" i="130" s="1"/>
  <c r="K36" i="131"/>
  <c r="J36" i="131"/>
  <c r="K47" i="131"/>
  <c r="J47" i="131"/>
  <c r="K52" i="131"/>
  <c r="J52" i="131"/>
  <c r="K16" i="132"/>
  <c r="J16" i="132"/>
  <c r="M16" i="132" s="1"/>
  <c r="K23" i="132"/>
  <c r="J23" i="132"/>
  <c r="M23" i="132" s="1"/>
  <c r="K30" i="132"/>
  <c r="J30" i="132"/>
  <c r="N30" i="132" s="1"/>
  <c r="K37" i="132"/>
  <c r="J37" i="132"/>
  <c r="N37" i="132" s="1"/>
  <c r="K41" i="132"/>
  <c r="J41" i="132"/>
  <c r="P41" i="132" s="1"/>
  <c r="K48" i="132"/>
  <c r="J48" i="132"/>
  <c r="P48" i="132" s="1"/>
  <c r="G13" i="133"/>
  <c r="I14" i="133"/>
  <c r="K22" i="133"/>
  <c r="J22" i="133"/>
  <c r="K29" i="133"/>
  <c r="J29" i="133"/>
  <c r="K51" i="133"/>
  <c r="K43" i="133" s="1"/>
  <c r="J51" i="133"/>
  <c r="L58" i="134"/>
  <c r="K58" i="134"/>
  <c r="L54" i="135"/>
  <c r="L52" i="135" s="1"/>
  <c r="I52" i="135" s="1"/>
  <c r="K54" i="135"/>
  <c r="L58" i="135"/>
  <c r="K58" i="135"/>
  <c r="L62" i="135"/>
  <c r="K62" i="135"/>
  <c r="J38" i="120"/>
  <c r="J40" i="120"/>
  <c r="J42" i="120"/>
  <c r="J44" i="120"/>
  <c r="J46" i="120"/>
  <c r="J48" i="120"/>
  <c r="J50" i="120"/>
  <c r="J52" i="120"/>
  <c r="J54" i="120"/>
  <c r="J60" i="120"/>
  <c r="J62" i="120"/>
  <c r="J64" i="120"/>
  <c r="J66" i="120"/>
  <c r="H12" i="121"/>
  <c r="J30" i="121"/>
  <c r="N30" i="121" s="1"/>
  <c r="J41" i="121"/>
  <c r="P41" i="121" s="1"/>
  <c r="J49" i="121"/>
  <c r="P49" i="121" s="1"/>
  <c r="J37" i="122"/>
  <c r="J53" i="122"/>
  <c r="J55" i="122"/>
  <c r="K54" i="123"/>
  <c r="K59" i="123"/>
  <c r="J52" i="124"/>
  <c r="L53" i="124"/>
  <c r="L61" i="124"/>
  <c r="K61" i="124"/>
  <c r="K52" i="124" s="1"/>
  <c r="O16" i="125"/>
  <c r="O20" i="125"/>
  <c r="N21" i="126"/>
  <c r="O41" i="126"/>
  <c r="N41" i="126"/>
  <c r="J14" i="131"/>
  <c r="K21" i="131"/>
  <c r="J21" i="131"/>
  <c r="K25" i="131"/>
  <c r="J25" i="131"/>
  <c r="K29" i="131"/>
  <c r="J29" i="131"/>
  <c r="K33" i="131"/>
  <c r="J33" i="131"/>
  <c r="K37" i="131"/>
  <c r="J37" i="131"/>
  <c r="K53" i="131"/>
  <c r="J53" i="131"/>
  <c r="K59" i="131"/>
  <c r="J59" i="131"/>
  <c r="J33" i="132"/>
  <c r="N33" i="132" s="1"/>
  <c r="J44" i="132"/>
  <c r="P44" i="132" s="1"/>
  <c r="G56" i="132"/>
  <c r="H56" i="132" s="1"/>
  <c r="I57" i="132"/>
  <c r="K36" i="133"/>
  <c r="J36" i="133"/>
  <c r="J40" i="133"/>
  <c r="J45" i="133"/>
  <c r="J43" i="133" s="1"/>
  <c r="K45" i="133"/>
  <c r="K9" i="125"/>
  <c r="O17" i="125"/>
  <c r="O12" i="125" s="1"/>
  <c r="N17" i="125"/>
  <c r="O21" i="125"/>
  <c r="N21" i="125"/>
  <c r="O33" i="125"/>
  <c r="N33" i="125"/>
  <c r="O32" i="126"/>
  <c r="N32" i="126"/>
  <c r="O37" i="126"/>
  <c r="N37" i="126"/>
  <c r="R23" i="128"/>
  <c r="R46" i="128"/>
  <c r="R69" i="130"/>
  <c r="R92" i="130"/>
  <c r="K43" i="131"/>
  <c r="J43" i="131"/>
  <c r="K48" i="131"/>
  <c r="J48" i="131"/>
  <c r="K65" i="131"/>
  <c r="J65" i="131"/>
  <c r="K13" i="132"/>
  <c r="J13" i="132"/>
  <c r="I12" i="132"/>
  <c r="K17" i="132"/>
  <c r="J17" i="132"/>
  <c r="M17" i="132" s="1"/>
  <c r="K34" i="132"/>
  <c r="J34" i="132"/>
  <c r="N34" i="132" s="1"/>
  <c r="K38" i="132"/>
  <c r="J38" i="132"/>
  <c r="N38" i="132" s="1"/>
  <c r="K45" i="132"/>
  <c r="J45" i="132"/>
  <c r="P45" i="132" s="1"/>
  <c r="K49" i="132"/>
  <c r="J49" i="132"/>
  <c r="P49" i="132" s="1"/>
  <c r="K15" i="133"/>
  <c r="J15" i="133"/>
  <c r="K19" i="133"/>
  <c r="J19" i="133"/>
  <c r="K30" i="133"/>
  <c r="J30" i="133"/>
  <c r="K41" i="133"/>
  <c r="J41" i="133"/>
  <c r="G9" i="121"/>
  <c r="K52" i="123"/>
  <c r="K51" i="123" s="1"/>
  <c r="K57" i="123"/>
  <c r="K60" i="123"/>
  <c r="K62" i="124"/>
  <c r="M26" i="125"/>
  <c r="O29" i="125"/>
  <c r="O34" i="125"/>
  <c r="N34" i="125"/>
  <c r="N25" i="126"/>
  <c r="O28" i="126"/>
  <c r="N28" i="126"/>
  <c r="K49" i="131"/>
  <c r="J49" i="131"/>
  <c r="J52" i="132"/>
  <c r="O52" i="132" s="1"/>
  <c r="K62" i="132"/>
  <c r="J62" i="132"/>
  <c r="K66" i="132"/>
  <c r="J66" i="132"/>
  <c r="C73" i="132" s="1"/>
  <c r="J23" i="133"/>
  <c r="K26" i="133"/>
  <c r="J52" i="133"/>
  <c r="L59" i="134"/>
  <c r="M12" i="125"/>
  <c r="N14" i="125"/>
  <c r="O30" i="125"/>
  <c r="N30" i="125"/>
  <c r="O43" i="126"/>
  <c r="N43" i="126"/>
  <c r="R23" i="129"/>
  <c r="R46" i="129"/>
  <c r="K39" i="131"/>
  <c r="J39" i="131"/>
  <c r="K44" i="131"/>
  <c r="J44" i="131"/>
  <c r="K61" i="131"/>
  <c r="J61" i="131"/>
  <c r="K66" i="131"/>
  <c r="J66" i="131"/>
  <c r="K14" i="132"/>
  <c r="J14" i="132"/>
  <c r="M14" i="132" s="1"/>
  <c r="K25" i="132"/>
  <c r="J25" i="132"/>
  <c r="N25" i="132" s="1"/>
  <c r="K35" i="132"/>
  <c r="J35" i="132"/>
  <c r="N35" i="132" s="1"/>
  <c r="K46" i="132"/>
  <c r="J46" i="132"/>
  <c r="P46" i="132" s="1"/>
  <c r="K53" i="132"/>
  <c r="J53" i="132"/>
  <c r="O53" i="132" s="1"/>
  <c r="K27" i="133"/>
  <c r="J27" i="133"/>
  <c r="I43" i="133"/>
  <c r="K49" i="133"/>
  <c r="J49" i="133"/>
  <c r="K55" i="134"/>
  <c r="L55" i="134"/>
  <c r="K21" i="141"/>
  <c r="J21" i="141"/>
  <c r="K29" i="141"/>
  <c r="J29" i="141"/>
  <c r="J59" i="141"/>
  <c r="K59" i="141"/>
  <c r="K18" i="142"/>
  <c r="J18" i="142"/>
  <c r="M18" i="142" s="1"/>
  <c r="K28" i="142"/>
  <c r="J28" i="142"/>
  <c r="N28" i="142" s="1"/>
  <c r="K44" i="142"/>
  <c r="J44" i="142"/>
  <c r="P44" i="142" s="1"/>
  <c r="K48" i="142"/>
  <c r="J48" i="142"/>
  <c r="P48" i="142" s="1"/>
  <c r="K25" i="143"/>
  <c r="J25" i="143"/>
  <c r="K30" i="143"/>
  <c r="J30" i="143"/>
  <c r="J36" i="143"/>
  <c r="K36" i="143"/>
  <c r="K41" i="143"/>
  <c r="J41" i="143"/>
  <c r="K48" i="143"/>
  <c r="J48" i="143"/>
  <c r="H12" i="132"/>
  <c r="H51" i="134"/>
  <c r="O16" i="136"/>
  <c r="N16" i="136"/>
  <c r="O21" i="136"/>
  <c r="N21" i="136"/>
  <c r="O17" i="137"/>
  <c r="N17" i="137"/>
  <c r="O21" i="137"/>
  <c r="N21" i="137"/>
  <c r="O25" i="137"/>
  <c r="N25" i="137"/>
  <c r="R24" i="138"/>
  <c r="R25" i="138" s="1"/>
  <c r="R3" i="138" s="1"/>
  <c r="V5" i="138" s="1"/>
  <c r="R47" i="138"/>
  <c r="R48" i="138"/>
  <c r="K22" i="141"/>
  <c r="J22" i="141"/>
  <c r="K30" i="141"/>
  <c r="J30" i="141"/>
  <c r="K60" i="141"/>
  <c r="J60" i="141"/>
  <c r="K64" i="141"/>
  <c r="J64" i="141"/>
  <c r="K15" i="142"/>
  <c r="J15" i="142"/>
  <c r="M15" i="142" s="1"/>
  <c r="K29" i="142"/>
  <c r="J29" i="142"/>
  <c r="N29" i="142" s="1"/>
  <c r="K49" i="142"/>
  <c r="J49" i="142"/>
  <c r="P49" i="142" s="1"/>
  <c r="I13" i="143"/>
  <c r="K14" i="143"/>
  <c r="J14" i="143"/>
  <c r="K19" i="143"/>
  <c r="J19" i="143"/>
  <c r="K31" i="143"/>
  <c r="J31" i="143"/>
  <c r="K37" i="143"/>
  <c r="J37" i="143"/>
  <c r="K49" i="143"/>
  <c r="J49" i="143"/>
  <c r="G34" i="135"/>
  <c r="H34" i="135" s="1"/>
  <c r="J34" i="135" s="1"/>
  <c r="K34" i="135" s="1"/>
  <c r="L34" i="135" s="1"/>
  <c r="J15" i="135"/>
  <c r="O22" i="136"/>
  <c r="N22" i="136"/>
  <c r="O29" i="136"/>
  <c r="N29" i="136"/>
  <c r="O34" i="136"/>
  <c r="N34" i="136"/>
  <c r="M30" i="137"/>
  <c r="K12" i="137"/>
  <c r="O38" i="137"/>
  <c r="N38" i="137"/>
  <c r="K23" i="141"/>
  <c r="J23" i="141"/>
  <c r="K31" i="141"/>
  <c r="J31" i="141"/>
  <c r="K19" i="142"/>
  <c r="J19" i="142"/>
  <c r="M19" i="142" s="1"/>
  <c r="K30" i="142"/>
  <c r="J30" i="142"/>
  <c r="N30" i="142" s="1"/>
  <c r="K50" i="142"/>
  <c r="J50" i="142"/>
  <c r="O50" i="142" s="1"/>
  <c r="G56" i="142"/>
  <c r="H56" i="142" s="1"/>
  <c r="I57" i="142"/>
  <c r="K63" i="142"/>
  <c r="J63" i="142"/>
  <c r="K26" i="143"/>
  <c r="J26" i="143"/>
  <c r="K32" i="143"/>
  <c r="J32" i="143"/>
  <c r="K44" i="143"/>
  <c r="J44" i="143"/>
  <c r="K50" i="143"/>
  <c r="J50" i="143"/>
  <c r="N14" i="126"/>
  <c r="N16" i="126"/>
  <c r="N18" i="126"/>
  <c r="N20" i="126"/>
  <c r="N22" i="126"/>
  <c r="N24" i="126"/>
  <c r="N26" i="126"/>
  <c r="J13" i="131"/>
  <c r="J15" i="131"/>
  <c r="J17" i="131"/>
  <c r="J20" i="132"/>
  <c r="M20" i="132" s="1"/>
  <c r="J32" i="132"/>
  <c r="N32" i="132" s="1"/>
  <c r="J43" i="132"/>
  <c r="P43" i="132" s="1"/>
  <c r="J51" i="132"/>
  <c r="O51" i="132" s="1"/>
  <c r="O12" i="132" s="1"/>
  <c r="C71" i="132" s="1"/>
  <c r="J32" i="133"/>
  <c r="J34" i="133"/>
  <c r="J47" i="133"/>
  <c r="J53" i="133"/>
  <c r="K52" i="134"/>
  <c r="K51" i="134" s="1"/>
  <c r="O17" i="136"/>
  <c r="N17" i="136"/>
  <c r="O35" i="136"/>
  <c r="N35" i="136"/>
  <c r="O31" i="137"/>
  <c r="N31" i="137"/>
  <c r="O44" i="137"/>
  <c r="N44" i="137"/>
  <c r="R25" i="139"/>
  <c r="R24" i="139"/>
  <c r="R47" i="139"/>
  <c r="R48" i="139" s="1"/>
  <c r="R71" i="139"/>
  <c r="R70" i="139"/>
  <c r="R93" i="139"/>
  <c r="R94" i="139"/>
  <c r="K17" i="141"/>
  <c r="J17" i="141"/>
  <c r="K24" i="141"/>
  <c r="J24" i="141"/>
  <c r="K32" i="141"/>
  <c r="J32" i="141"/>
  <c r="K38" i="141"/>
  <c r="J38" i="141"/>
  <c r="K42" i="141"/>
  <c r="J42" i="141"/>
  <c r="K46" i="141"/>
  <c r="J46" i="141"/>
  <c r="K50" i="141"/>
  <c r="J50" i="141"/>
  <c r="K54" i="141"/>
  <c r="J54" i="141"/>
  <c r="K20" i="142"/>
  <c r="J20" i="142"/>
  <c r="M20" i="142" s="1"/>
  <c r="K31" i="142"/>
  <c r="J31" i="142"/>
  <c r="N31" i="142" s="1"/>
  <c r="K51" i="142"/>
  <c r="J51" i="142"/>
  <c r="O51" i="142" s="1"/>
  <c r="K58" i="142"/>
  <c r="J58" i="142"/>
  <c r="K15" i="143"/>
  <c r="J15" i="143"/>
  <c r="K20" i="143"/>
  <c r="J20" i="143"/>
  <c r="K38" i="143"/>
  <c r="J38" i="143"/>
  <c r="K51" i="143"/>
  <c r="J51" i="143"/>
  <c r="K55" i="143"/>
  <c r="J55" i="143"/>
  <c r="O14" i="126"/>
  <c r="K13" i="131"/>
  <c r="L56" i="135"/>
  <c r="K56" i="135"/>
  <c r="K52" i="135" s="1"/>
  <c r="L60" i="135"/>
  <c r="K60" i="135"/>
  <c r="O18" i="136"/>
  <c r="N18" i="136"/>
  <c r="O23" i="136"/>
  <c r="N23" i="136"/>
  <c r="O30" i="136"/>
  <c r="N30" i="136"/>
  <c r="K25" i="141"/>
  <c r="J25" i="141"/>
  <c r="K33" i="141"/>
  <c r="J33" i="141"/>
  <c r="K21" i="142"/>
  <c r="J21" i="142"/>
  <c r="M21" i="142" s="1"/>
  <c r="J25" i="142"/>
  <c r="N25" i="142" s="1"/>
  <c r="K25" i="142"/>
  <c r="K32" i="142"/>
  <c r="J32" i="142"/>
  <c r="N32" i="142" s="1"/>
  <c r="K36" i="142"/>
  <c r="J36" i="142"/>
  <c r="N36" i="142" s="1"/>
  <c r="K40" i="142"/>
  <c r="J40" i="142"/>
  <c r="P40" i="142" s="1"/>
  <c r="K52" i="142"/>
  <c r="J52" i="142"/>
  <c r="O52" i="142" s="1"/>
  <c r="K59" i="142"/>
  <c r="J59" i="142"/>
  <c r="I21" i="143"/>
  <c r="G13" i="143"/>
  <c r="K27" i="143"/>
  <c r="J27" i="143"/>
  <c r="K45" i="143"/>
  <c r="J45" i="143"/>
  <c r="K26" i="136"/>
  <c r="L26" i="136" s="1"/>
  <c r="M27" i="136"/>
  <c r="O31" i="136"/>
  <c r="N31" i="136"/>
  <c r="O15" i="137"/>
  <c r="N15" i="137"/>
  <c r="O19" i="137"/>
  <c r="N19" i="137"/>
  <c r="O23" i="137"/>
  <c r="N23" i="137"/>
  <c r="O27" i="137"/>
  <c r="N27" i="137"/>
  <c r="O40" i="137"/>
  <c r="N40" i="137"/>
  <c r="R24" i="140"/>
  <c r="R25" i="140" s="1"/>
  <c r="R3" i="140" s="1"/>
  <c r="V5" i="140" s="1"/>
  <c r="R48" i="140"/>
  <c r="R47" i="140"/>
  <c r="R70" i="140"/>
  <c r="R71" i="140" s="1"/>
  <c r="R93" i="140"/>
  <c r="R94" i="140" s="1"/>
  <c r="G12" i="141"/>
  <c r="K18" i="141"/>
  <c r="J18" i="141"/>
  <c r="K26" i="141"/>
  <c r="J26" i="141"/>
  <c r="K34" i="141"/>
  <c r="J34" i="141"/>
  <c r="G56" i="141"/>
  <c r="H56" i="141" s="1"/>
  <c r="K62" i="141"/>
  <c r="J62" i="141"/>
  <c r="K66" i="141"/>
  <c r="J66" i="141"/>
  <c r="K33" i="142"/>
  <c r="J33" i="142"/>
  <c r="N33" i="142" s="1"/>
  <c r="K41" i="142"/>
  <c r="J41" i="142"/>
  <c r="P41" i="142" s="1"/>
  <c r="K65" i="142"/>
  <c r="J65" i="142"/>
  <c r="G10" i="143"/>
  <c r="K22" i="143"/>
  <c r="J22" i="143"/>
  <c r="K34" i="143"/>
  <c r="J34" i="143"/>
  <c r="K39" i="143"/>
  <c r="J39" i="143"/>
  <c r="G43" i="133"/>
  <c r="H43" i="133" s="1"/>
  <c r="L53" i="134"/>
  <c r="L51" i="134" s="1"/>
  <c r="L61" i="134"/>
  <c r="O19" i="136"/>
  <c r="N19" i="136"/>
  <c r="O37" i="136"/>
  <c r="N37" i="136"/>
  <c r="K35" i="137"/>
  <c r="L35" i="137" s="1"/>
  <c r="M36" i="137"/>
  <c r="O46" i="137"/>
  <c r="N46" i="137"/>
  <c r="K19" i="141"/>
  <c r="J19" i="141"/>
  <c r="K27" i="141"/>
  <c r="J27" i="141"/>
  <c r="K35" i="141"/>
  <c r="J35" i="141"/>
  <c r="I13" i="142"/>
  <c r="H12" i="142"/>
  <c r="G12" i="142"/>
  <c r="K26" i="142"/>
  <c r="J26" i="142"/>
  <c r="N26" i="142" s="1"/>
  <c r="K42" i="142"/>
  <c r="J42" i="142"/>
  <c r="P42" i="142" s="1"/>
  <c r="K23" i="143"/>
  <c r="J23" i="143"/>
  <c r="K28" i="143"/>
  <c r="J28" i="143"/>
  <c r="K46" i="143"/>
  <c r="J46" i="143"/>
  <c r="I43" i="143"/>
  <c r="G33" i="144"/>
  <c r="H33" i="144" s="1"/>
  <c r="J33" i="144" s="1"/>
  <c r="K33" i="144" s="1"/>
  <c r="L33" i="144" s="1"/>
  <c r="J54" i="145"/>
  <c r="H52" i="145"/>
  <c r="H12" i="146"/>
  <c r="O16" i="146"/>
  <c r="N16" i="146"/>
  <c r="O28" i="147"/>
  <c r="N28" i="147"/>
  <c r="O39" i="147"/>
  <c r="N39" i="147"/>
  <c r="K17" i="151"/>
  <c r="J17" i="151"/>
  <c r="K20" i="152"/>
  <c r="J20" i="152"/>
  <c r="M20" i="152" s="1"/>
  <c r="K24" i="152"/>
  <c r="J24" i="152"/>
  <c r="M24" i="152" s="1"/>
  <c r="K28" i="152"/>
  <c r="J28" i="152"/>
  <c r="N28" i="152" s="1"/>
  <c r="K31" i="152"/>
  <c r="J31" i="152"/>
  <c r="N31" i="152" s="1"/>
  <c r="K43" i="152"/>
  <c r="J43" i="152"/>
  <c r="P43" i="152" s="1"/>
  <c r="K47" i="152"/>
  <c r="J47" i="152"/>
  <c r="P47" i="152" s="1"/>
  <c r="K50" i="152"/>
  <c r="J50" i="152"/>
  <c r="O50" i="152" s="1"/>
  <c r="K59" i="152"/>
  <c r="J59" i="152"/>
  <c r="K63" i="152"/>
  <c r="J63" i="152"/>
  <c r="K38" i="153"/>
  <c r="J38" i="153"/>
  <c r="K44" i="153"/>
  <c r="J44" i="153"/>
  <c r="O30" i="157"/>
  <c r="N30" i="157"/>
  <c r="N36" i="136"/>
  <c r="N32" i="137"/>
  <c r="N39" i="137"/>
  <c r="N41" i="137"/>
  <c r="N43" i="137"/>
  <c r="N45" i="137"/>
  <c r="G9" i="141"/>
  <c r="J14" i="141"/>
  <c r="J16" i="141"/>
  <c r="J24" i="142"/>
  <c r="M24" i="142" s="1"/>
  <c r="J39" i="142"/>
  <c r="N39" i="142" s="1"/>
  <c r="J47" i="142"/>
  <c r="P47" i="142" s="1"/>
  <c r="I16" i="143"/>
  <c r="I10" i="143" s="1"/>
  <c r="J33" i="143"/>
  <c r="J15" i="144"/>
  <c r="K60" i="144"/>
  <c r="H13" i="145"/>
  <c r="J15" i="145"/>
  <c r="O22" i="146"/>
  <c r="N22" i="146"/>
  <c r="O31" i="146"/>
  <c r="N31" i="146"/>
  <c r="M35" i="147"/>
  <c r="O36" i="147"/>
  <c r="O40" i="147"/>
  <c r="N40" i="147"/>
  <c r="R25" i="150"/>
  <c r="K18" i="151"/>
  <c r="J18" i="151"/>
  <c r="I13" i="152"/>
  <c r="G9" i="152"/>
  <c r="H12" i="152"/>
  <c r="G12" i="152"/>
  <c r="K32" i="152"/>
  <c r="J32" i="152"/>
  <c r="N32" i="152" s="1"/>
  <c r="K36" i="152"/>
  <c r="J36" i="152"/>
  <c r="N36" i="152" s="1"/>
  <c r="K51" i="152"/>
  <c r="J51" i="152"/>
  <c r="O51" i="152" s="1"/>
  <c r="K18" i="153"/>
  <c r="J18" i="153"/>
  <c r="K26" i="153"/>
  <c r="J26" i="153"/>
  <c r="J36" i="153"/>
  <c r="K18" i="162"/>
  <c r="J18" i="162"/>
  <c r="K38" i="162"/>
  <c r="J38" i="162"/>
  <c r="J52" i="135"/>
  <c r="M12" i="137"/>
  <c r="H13" i="144"/>
  <c r="K54" i="144"/>
  <c r="K57" i="144"/>
  <c r="N17" i="146"/>
  <c r="O37" i="146"/>
  <c r="N37" i="146"/>
  <c r="N23" i="147"/>
  <c r="O29" i="147"/>
  <c r="N29" i="147"/>
  <c r="N36" i="147"/>
  <c r="O41" i="147"/>
  <c r="N41" i="147"/>
  <c r="R23" i="148"/>
  <c r="R46" i="148"/>
  <c r="R46" i="150"/>
  <c r="R69" i="150"/>
  <c r="R92" i="150"/>
  <c r="G56" i="151"/>
  <c r="H56" i="151" s="1"/>
  <c r="K21" i="152"/>
  <c r="J21" i="152"/>
  <c r="M21" i="152" s="1"/>
  <c r="J25" i="152"/>
  <c r="N25" i="152" s="1"/>
  <c r="K29" i="152"/>
  <c r="K44" i="152"/>
  <c r="J44" i="152"/>
  <c r="P44" i="152" s="1"/>
  <c r="K48" i="152"/>
  <c r="I56" i="152"/>
  <c r="K57" i="152"/>
  <c r="G13" i="153"/>
  <c r="K39" i="153"/>
  <c r="J39" i="153"/>
  <c r="K45" i="153"/>
  <c r="J45" i="153"/>
  <c r="K49" i="153"/>
  <c r="J49" i="153"/>
  <c r="O24" i="157"/>
  <c r="N24" i="157"/>
  <c r="G34" i="145"/>
  <c r="H34" i="145" s="1"/>
  <c r="J34" i="145" s="1"/>
  <c r="K34" i="145" s="1"/>
  <c r="L34" i="145" s="1"/>
  <c r="O18" i="146"/>
  <c r="N18" i="146"/>
  <c r="O42" i="147"/>
  <c r="N42" i="147"/>
  <c r="K58" i="151"/>
  <c r="J58" i="151"/>
  <c r="K33" i="152"/>
  <c r="J33" i="152"/>
  <c r="N33" i="152" s="1"/>
  <c r="K52" i="152"/>
  <c r="J52" i="152"/>
  <c r="O52" i="152" s="1"/>
  <c r="K14" i="153"/>
  <c r="J14" i="153"/>
  <c r="K19" i="153"/>
  <c r="J19" i="153"/>
  <c r="K23" i="153"/>
  <c r="J23" i="153"/>
  <c r="K27" i="153"/>
  <c r="J27" i="153"/>
  <c r="K31" i="153"/>
  <c r="J31" i="153"/>
  <c r="K40" i="153"/>
  <c r="J40" i="153"/>
  <c r="I46" i="153"/>
  <c r="G43" i="153"/>
  <c r="H43" i="153" s="1"/>
  <c r="L57" i="155"/>
  <c r="K57" i="155"/>
  <c r="R25" i="161"/>
  <c r="M14" i="136"/>
  <c r="N29" i="137"/>
  <c r="I13" i="141"/>
  <c r="I57" i="141"/>
  <c r="J17" i="142"/>
  <c r="M17" i="142" s="1"/>
  <c r="J23" i="142"/>
  <c r="M23" i="142" s="1"/>
  <c r="J35" i="142"/>
  <c r="N35" i="142" s="1"/>
  <c r="J38" i="142"/>
  <c r="N38" i="142" s="1"/>
  <c r="J46" i="142"/>
  <c r="P46" i="142" s="1"/>
  <c r="J54" i="142"/>
  <c r="O54" i="142" s="1"/>
  <c r="J60" i="142"/>
  <c r="J62" i="142"/>
  <c r="J64" i="142"/>
  <c r="J66" i="142"/>
  <c r="C73" i="142" s="1"/>
  <c r="H51" i="144"/>
  <c r="J52" i="144"/>
  <c r="K58" i="144"/>
  <c r="K26" i="146"/>
  <c r="L26" i="146" s="1"/>
  <c r="O28" i="146"/>
  <c r="O33" i="146"/>
  <c r="N33" i="146"/>
  <c r="N26" i="146" s="1"/>
  <c r="O30" i="147"/>
  <c r="N30" i="147"/>
  <c r="O43" i="147"/>
  <c r="N43" i="147"/>
  <c r="G12" i="151"/>
  <c r="K18" i="152"/>
  <c r="J18" i="152"/>
  <c r="M18" i="152" s="1"/>
  <c r="K26" i="152"/>
  <c r="J26" i="152"/>
  <c r="N26" i="152" s="1"/>
  <c r="K61" i="152"/>
  <c r="J61" i="152"/>
  <c r="K65" i="152"/>
  <c r="J65" i="152"/>
  <c r="K20" i="153"/>
  <c r="J20" i="153"/>
  <c r="K28" i="153"/>
  <c r="J28" i="153"/>
  <c r="K32" i="153"/>
  <c r="J32" i="153"/>
  <c r="K50" i="153"/>
  <c r="G34" i="155"/>
  <c r="H34" i="155" s="1"/>
  <c r="J34" i="155" s="1"/>
  <c r="K34" i="155" s="1"/>
  <c r="L34" i="155" s="1"/>
  <c r="J15" i="155"/>
  <c r="O37" i="157"/>
  <c r="N37" i="157"/>
  <c r="K60" i="162"/>
  <c r="J60" i="162"/>
  <c r="K55" i="144"/>
  <c r="K62" i="145"/>
  <c r="K12" i="146"/>
  <c r="K9" i="146" s="1"/>
  <c r="M14" i="146"/>
  <c r="N19" i="146"/>
  <c r="M15" i="147"/>
  <c r="K12" i="147"/>
  <c r="N21" i="147"/>
  <c r="O31" i="147"/>
  <c r="N31" i="147"/>
  <c r="O37" i="147"/>
  <c r="N37" i="147"/>
  <c r="O44" i="147"/>
  <c r="N44" i="147"/>
  <c r="R23" i="149"/>
  <c r="K14" i="151"/>
  <c r="J14" i="151"/>
  <c r="K25" i="151"/>
  <c r="K33" i="151"/>
  <c r="J59" i="151"/>
  <c r="K15" i="153"/>
  <c r="J15" i="153"/>
  <c r="K24" i="153"/>
  <c r="K33" i="153"/>
  <c r="J33" i="153"/>
  <c r="K41" i="153"/>
  <c r="J47" i="153"/>
  <c r="K51" i="153"/>
  <c r="J51" i="153"/>
  <c r="G33" i="154"/>
  <c r="H33" i="154" s="1"/>
  <c r="J33" i="154" s="1"/>
  <c r="K33" i="154" s="1"/>
  <c r="L33" i="154" s="1"/>
  <c r="J15" i="154"/>
  <c r="O34" i="156"/>
  <c r="N34" i="156"/>
  <c r="K54" i="162"/>
  <c r="J54" i="162"/>
  <c r="K12" i="136"/>
  <c r="K9" i="136" s="1"/>
  <c r="J52" i="145"/>
  <c r="O20" i="146"/>
  <c r="N20" i="146"/>
  <c r="O29" i="146"/>
  <c r="N29" i="146"/>
  <c r="O32" i="147"/>
  <c r="N32" i="147"/>
  <c r="O45" i="147"/>
  <c r="N45" i="147"/>
  <c r="R47" i="149"/>
  <c r="R48" i="149" s="1"/>
  <c r="R71" i="149"/>
  <c r="R70" i="149"/>
  <c r="R93" i="149"/>
  <c r="R94" i="149" s="1"/>
  <c r="K15" i="151"/>
  <c r="J15" i="151"/>
  <c r="K15" i="152"/>
  <c r="J15" i="152"/>
  <c r="M15" i="152" s="1"/>
  <c r="K27" i="152"/>
  <c r="J27" i="152"/>
  <c r="N27" i="152" s="1"/>
  <c r="I16" i="153"/>
  <c r="K25" i="153"/>
  <c r="J25" i="153"/>
  <c r="K34" i="153"/>
  <c r="J34" i="153"/>
  <c r="O28" i="156"/>
  <c r="N28" i="156"/>
  <c r="N38" i="157"/>
  <c r="O38" i="157"/>
  <c r="N46" i="157"/>
  <c r="O46" i="157"/>
  <c r="K49" i="162"/>
  <c r="J49" i="162"/>
  <c r="J20" i="163"/>
  <c r="M20" i="163" s="1"/>
  <c r="K20" i="163"/>
  <c r="K56" i="144"/>
  <c r="K59" i="144"/>
  <c r="N15" i="146"/>
  <c r="M26" i="146"/>
  <c r="O27" i="146"/>
  <c r="O35" i="146"/>
  <c r="N35" i="146"/>
  <c r="N25" i="147"/>
  <c r="K35" i="147"/>
  <c r="L35" i="147" s="1"/>
  <c r="O38" i="147"/>
  <c r="N38" i="147"/>
  <c r="O46" i="147"/>
  <c r="N46" i="147"/>
  <c r="K16" i="151"/>
  <c r="J16" i="151"/>
  <c r="K23" i="151"/>
  <c r="K31" i="151"/>
  <c r="K19" i="152"/>
  <c r="J19" i="152"/>
  <c r="M19" i="152" s="1"/>
  <c r="K39" i="152"/>
  <c r="J39" i="152"/>
  <c r="N39" i="152" s="1"/>
  <c r="K42" i="152"/>
  <c r="J42" i="152"/>
  <c r="P42" i="152" s="1"/>
  <c r="P12" i="152" s="1"/>
  <c r="C72" i="152" s="1"/>
  <c r="K35" i="153"/>
  <c r="J35" i="153"/>
  <c r="I51" i="154"/>
  <c r="N18" i="156"/>
  <c r="O18" i="156"/>
  <c r="K16" i="163"/>
  <c r="J16" i="163"/>
  <c r="M16" i="163" s="1"/>
  <c r="K30" i="163"/>
  <c r="J30" i="163"/>
  <c r="N30" i="163" s="1"/>
  <c r="K49" i="163"/>
  <c r="J49" i="163"/>
  <c r="P49" i="163" s="1"/>
  <c r="K61" i="163"/>
  <c r="J61" i="163"/>
  <c r="G10" i="164"/>
  <c r="G13" i="164"/>
  <c r="K18" i="164"/>
  <c r="J18" i="164"/>
  <c r="K50" i="164"/>
  <c r="J50" i="164"/>
  <c r="L53" i="145"/>
  <c r="O19" i="156"/>
  <c r="N19" i="156"/>
  <c r="N35" i="156"/>
  <c r="O35" i="156"/>
  <c r="N31" i="157"/>
  <c r="O31" i="157"/>
  <c r="O39" i="157"/>
  <c r="N39" i="157"/>
  <c r="R23" i="159"/>
  <c r="R48" i="159"/>
  <c r="R47" i="159"/>
  <c r="R46" i="161"/>
  <c r="R69" i="161"/>
  <c r="R94" i="161"/>
  <c r="R93" i="161"/>
  <c r="K44" i="162"/>
  <c r="J44" i="162"/>
  <c r="K66" i="162"/>
  <c r="J66" i="162"/>
  <c r="J34" i="163"/>
  <c r="N34" i="163" s="1"/>
  <c r="K42" i="163"/>
  <c r="J42" i="163"/>
  <c r="P42" i="163" s="1"/>
  <c r="P12" i="163" s="1"/>
  <c r="C72" i="163" s="1"/>
  <c r="J53" i="163"/>
  <c r="O53" i="163" s="1"/>
  <c r="K58" i="163"/>
  <c r="J58" i="163"/>
  <c r="J56" i="163" s="1"/>
  <c r="I14" i="164"/>
  <c r="K23" i="164"/>
  <c r="J23" i="164"/>
  <c r="K31" i="164"/>
  <c r="K37" i="164"/>
  <c r="J15" i="165"/>
  <c r="G33" i="165"/>
  <c r="H33" i="165" s="1"/>
  <c r="J33" i="165" s="1"/>
  <c r="K33" i="165" s="1"/>
  <c r="L33" i="165" s="1"/>
  <c r="H13" i="165"/>
  <c r="G9" i="151"/>
  <c r="K57" i="154"/>
  <c r="N20" i="156"/>
  <c r="O20" i="156"/>
  <c r="O36" i="156"/>
  <c r="N36" i="156"/>
  <c r="N18" i="157"/>
  <c r="O32" i="157"/>
  <c r="N32" i="157"/>
  <c r="N40" i="157"/>
  <c r="O40" i="157"/>
  <c r="J39" i="162"/>
  <c r="K50" i="162"/>
  <c r="J50" i="162"/>
  <c r="J61" i="162"/>
  <c r="K24" i="163"/>
  <c r="J24" i="163"/>
  <c r="M24" i="163" s="1"/>
  <c r="K27" i="163"/>
  <c r="J27" i="163"/>
  <c r="N27" i="163" s="1"/>
  <c r="K31" i="163"/>
  <c r="J31" i="163"/>
  <c r="N31" i="163" s="1"/>
  <c r="J43" i="163"/>
  <c r="P43" i="163" s="1"/>
  <c r="K43" i="163"/>
  <c r="K50" i="163"/>
  <c r="J50" i="163"/>
  <c r="O50" i="163" s="1"/>
  <c r="O12" i="163" s="1"/>
  <c r="C71" i="163" s="1"/>
  <c r="K65" i="163"/>
  <c r="J65" i="163"/>
  <c r="J19" i="164"/>
  <c r="K19" i="164"/>
  <c r="K47" i="164"/>
  <c r="J47" i="164"/>
  <c r="K51" i="164"/>
  <c r="J51" i="164"/>
  <c r="L61" i="166"/>
  <c r="K61" i="166"/>
  <c r="O29" i="167"/>
  <c r="N29" i="167"/>
  <c r="O21" i="156"/>
  <c r="N21" i="156"/>
  <c r="N29" i="156"/>
  <c r="O29" i="156"/>
  <c r="N37" i="156"/>
  <c r="O37" i="156"/>
  <c r="O28" i="157"/>
  <c r="N28" i="157"/>
  <c r="O41" i="157"/>
  <c r="N41" i="157"/>
  <c r="J13" i="162"/>
  <c r="I12" i="162"/>
  <c r="K13" i="162"/>
  <c r="K40" i="162"/>
  <c r="J40" i="162"/>
  <c r="J57" i="162"/>
  <c r="K57" i="162"/>
  <c r="K62" i="162"/>
  <c r="J62" i="162"/>
  <c r="J32" i="163"/>
  <c r="N32" i="163" s="1"/>
  <c r="K32" i="163"/>
  <c r="K39" i="163"/>
  <c r="J39" i="163"/>
  <c r="N39" i="163" s="1"/>
  <c r="J51" i="163"/>
  <c r="O51" i="163" s="1"/>
  <c r="K51" i="163"/>
  <c r="K59" i="163"/>
  <c r="J59" i="163"/>
  <c r="J15" i="164"/>
  <c r="K15" i="164"/>
  <c r="K20" i="164"/>
  <c r="J20" i="164"/>
  <c r="K38" i="164"/>
  <c r="J38" i="164"/>
  <c r="M14" i="156"/>
  <c r="K12" i="156"/>
  <c r="K9" i="156" s="1"/>
  <c r="N22" i="156"/>
  <c r="O22" i="156"/>
  <c r="O30" i="156"/>
  <c r="N30" i="156"/>
  <c r="K35" i="157"/>
  <c r="L35" i="157" s="1"/>
  <c r="M36" i="157"/>
  <c r="N42" i="157"/>
  <c r="O42" i="157"/>
  <c r="R25" i="160"/>
  <c r="K14" i="162"/>
  <c r="J14" i="162"/>
  <c r="K46" i="162"/>
  <c r="J46" i="162"/>
  <c r="G56" i="162"/>
  <c r="H56" i="162" s="1"/>
  <c r="I58" i="162"/>
  <c r="I56" i="162" s="1"/>
  <c r="I9" i="162" s="1"/>
  <c r="I13" i="163"/>
  <c r="G9" i="163"/>
  <c r="H12" i="163"/>
  <c r="G12" i="163"/>
  <c r="K28" i="163"/>
  <c r="J28" i="163"/>
  <c r="N28" i="163" s="1"/>
  <c r="K47" i="163"/>
  <c r="J47" i="163"/>
  <c r="P47" i="163" s="1"/>
  <c r="K16" i="164"/>
  <c r="J16" i="164"/>
  <c r="K28" i="164"/>
  <c r="J28" i="164"/>
  <c r="L61" i="165"/>
  <c r="K61" i="165"/>
  <c r="I13" i="151"/>
  <c r="I57" i="151"/>
  <c r="J14" i="152"/>
  <c r="M14" i="152" s="1"/>
  <c r="J17" i="152"/>
  <c r="M17" i="152" s="1"/>
  <c r="J23" i="152"/>
  <c r="M23" i="152" s="1"/>
  <c r="J35" i="152"/>
  <c r="N35" i="152" s="1"/>
  <c r="J38" i="152"/>
  <c r="N38" i="152" s="1"/>
  <c r="J46" i="152"/>
  <c r="P46" i="152" s="1"/>
  <c r="J54" i="152"/>
  <c r="O54" i="152" s="1"/>
  <c r="J58" i="152"/>
  <c r="J60" i="152"/>
  <c r="J62" i="152"/>
  <c r="J56" i="152" s="1"/>
  <c r="J64" i="152"/>
  <c r="J66" i="152"/>
  <c r="C73" i="152" s="1"/>
  <c r="J22" i="153"/>
  <c r="J30" i="153"/>
  <c r="J48" i="153"/>
  <c r="L52" i="154"/>
  <c r="L51" i="154" s="1"/>
  <c r="J51" i="154"/>
  <c r="K55" i="154"/>
  <c r="K58" i="154"/>
  <c r="O15" i="156"/>
  <c r="N15" i="156"/>
  <c r="O23" i="156"/>
  <c r="N23" i="156"/>
  <c r="N31" i="156"/>
  <c r="O31" i="156"/>
  <c r="N16" i="157"/>
  <c r="O43" i="157"/>
  <c r="N43" i="157"/>
  <c r="R46" i="160"/>
  <c r="R70" i="160"/>
  <c r="R71" i="160" s="1"/>
  <c r="R93" i="160"/>
  <c r="R94" i="160" s="1"/>
  <c r="J15" i="162"/>
  <c r="K15" i="162"/>
  <c r="K36" i="162"/>
  <c r="J36" i="162"/>
  <c r="J41" i="162"/>
  <c r="K52" i="162"/>
  <c r="J52" i="162"/>
  <c r="J63" i="162"/>
  <c r="K18" i="163"/>
  <c r="J18" i="163"/>
  <c r="M18" i="163" s="1"/>
  <c r="J25" i="163"/>
  <c r="N25" i="163" s="1"/>
  <c r="K36" i="163"/>
  <c r="J36" i="163"/>
  <c r="N36" i="163" s="1"/>
  <c r="K63" i="163"/>
  <c r="J63" i="163"/>
  <c r="K25" i="164"/>
  <c r="J25" i="164"/>
  <c r="J35" i="164"/>
  <c r="J39" i="164"/>
  <c r="K49" i="164"/>
  <c r="J49" i="164"/>
  <c r="K53" i="164"/>
  <c r="J53" i="164"/>
  <c r="L53" i="165"/>
  <c r="L51" i="165" s="1"/>
  <c r="I51" i="165" s="1"/>
  <c r="K53" i="165"/>
  <c r="O38" i="168"/>
  <c r="N38" i="168"/>
  <c r="K52" i="154"/>
  <c r="H52" i="155"/>
  <c r="J53" i="155"/>
  <c r="K59" i="155"/>
  <c r="N16" i="156"/>
  <c r="O16" i="156"/>
  <c r="O32" i="156"/>
  <c r="N32" i="156"/>
  <c r="N26" i="157"/>
  <c r="N44" i="157"/>
  <c r="O44" i="157"/>
  <c r="D43" i="158"/>
  <c r="K16" i="162"/>
  <c r="J16" i="162"/>
  <c r="K42" i="162"/>
  <c r="J42" i="162"/>
  <c r="J47" i="162"/>
  <c r="K64" i="162"/>
  <c r="J64" i="162"/>
  <c r="K14" i="163"/>
  <c r="J14" i="163"/>
  <c r="M14" i="163" s="1"/>
  <c r="J22" i="163"/>
  <c r="M22" i="163" s="1"/>
  <c r="J21" i="164"/>
  <c r="J29" i="164"/>
  <c r="K29" i="164"/>
  <c r="K40" i="164"/>
  <c r="J40" i="164"/>
  <c r="J54" i="164"/>
  <c r="K54" i="164"/>
  <c r="O17" i="156"/>
  <c r="N17" i="156"/>
  <c r="K26" i="156"/>
  <c r="L26" i="156" s="1"/>
  <c r="M27" i="156"/>
  <c r="N33" i="156"/>
  <c r="O33" i="156"/>
  <c r="O45" i="157"/>
  <c r="N45" i="157"/>
  <c r="J17" i="162"/>
  <c r="K17" i="162"/>
  <c r="K48" i="162"/>
  <c r="J48" i="162"/>
  <c r="K15" i="163"/>
  <c r="J15" i="163"/>
  <c r="M15" i="163" s="1"/>
  <c r="K19" i="163"/>
  <c r="J19" i="163"/>
  <c r="M19" i="163" s="1"/>
  <c r="J26" i="163"/>
  <c r="N26" i="163" s="1"/>
  <c r="K26" i="163"/>
  <c r="K41" i="163"/>
  <c r="J41" i="163"/>
  <c r="P41" i="163" s="1"/>
  <c r="I56" i="163"/>
  <c r="K57" i="163"/>
  <c r="K22" i="164"/>
  <c r="J22" i="164"/>
  <c r="K26" i="164"/>
  <c r="J26" i="164"/>
  <c r="K30" i="164"/>
  <c r="J30" i="164"/>
  <c r="K36" i="164"/>
  <c r="J36" i="164"/>
  <c r="K55" i="164"/>
  <c r="J55" i="164"/>
  <c r="K58" i="165"/>
  <c r="L58" i="165"/>
  <c r="J52" i="166"/>
  <c r="L53" i="166"/>
  <c r="L52" i="166" s="1"/>
  <c r="I52" i="166" s="1"/>
  <c r="K53" i="166"/>
  <c r="M14" i="157"/>
  <c r="G12" i="162"/>
  <c r="I46" i="164"/>
  <c r="L60" i="165"/>
  <c r="J15" i="166"/>
  <c r="K35" i="168"/>
  <c r="L35" i="168" s="1"/>
  <c r="M36" i="168"/>
  <c r="O41" i="168"/>
  <c r="N41" i="168"/>
  <c r="O46" i="168"/>
  <c r="N46" i="168"/>
  <c r="P17" i="169"/>
  <c r="O17" i="169"/>
  <c r="P22" i="169"/>
  <c r="O22" i="169"/>
  <c r="N36" i="169"/>
  <c r="M35" i="169"/>
  <c r="L35" i="169"/>
  <c r="L9" i="169" s="1"/>
  <c r="P42" i="169"/>
  <c r="O42" i="169"/>
  <c r="P23" i="169"/>
  <c r="O23" i="169"/>
  <c r="P28" i="169"/>
  <c r="O28" i="169"/>
  <c r="P43" i="169"/>
  <c r="O43" i="169"/>
  <c r="K12" i="157"/>
  <c r="K9" i="157" s="1"/>
  <c r="O16" i="167"/>
  <c r="N16" i="167"/>
  <c r="O20" i="167"/>
  <c r="N20" i="167"/>
  <c r="K26" i="167"/>
  <c r="L26" i="167" s="1"/>
  <c r="M27" i="167"/>
  <c r="O31" i="167"/>
  <c r="N31" i="167"/>
  <c r="O35" i="167"/>
  <c r="N35" i="167"/>
  <c r="O37" i="168"/>
  <c r="O35" i="168" s="1"/>
  <c r="N37" i="168"/>
  <c r="O42" i="168"/>
  <c r="N42" i="168"/>
  <c r="P18" i="169"/>
  <c r="O18" i="169"/>
  <c r="P29" i="169"/>
  <c r="O29" i="169"/>
  <c r="P37" i="169"/>
  <c r="P35" i="169" s="1"/>
  <c r="O37" i="169"/>
  <c r="P44" i="169"/>
  <c r="O44" i="169"/>
  <c r="G9" i="162"/>
  <c r="M12" i="168"/>
  <c r="O14" i="168"/>
  <c r="N14" i="168"/>
  <c r="O18" i="168"/>
  <c r="N18" i="168"/>
  <c r="O22" i="168"/>
  <c r="N22" i="168"/>
  <c r="O26" i="168"/>
  <c r="N26" i="168"/>
  <c r="O30" i="168"/>
  <c r="N30" i="168"/>
  <c r="O43" i="168"/>
  <c r="N43" i="168"/>
  <c r="P19" i="169"/>
  <c r="O19" i="169"/>
  <c r="P24" i="169"/>
  <c r="O24" i="169"/>
  <c r="P45" i="169"/>
  <c r="O45" i="169"/>
  <c r="L56" i="165"/>
  <c r="O28" i="167"/>
  <c r="N28" i="167"/>
  <c r="P14" i="169"/>
  <c r="P12" i="169" s="1"/>
  <c r="O14" i="169"/>
  <c r="N12" i="169"/>
  <c r="P25" i="169"/>
  <c r="O25" i="169"/>
  <c r="P30" i="169"/>
  <c r="O30" i="169"/>
  <c r="P38" i="169"/>
  <c r="O38" i="169"/>
  <c r="P46" i="169"/>
  <c r="O46" i="169"/>
  <c r="K9" i="167"/>
  <c r="O31" i="168"/>
  <c r="N31" i="168"/>
  <c r="O39" i="168"/>
  <c r="N39" i="168"/>
  <c r="O44" i="168"/>
  <c r="N44" i="168"/>
  <c r="P15" i="169"/>
  <c r="O15" i="169"/>
  <c r="P20" i="169"/>
  <c r="O20" i="169"/>
  <c r="P31" i="169"/>
  <c r="O31" i="169"/>
  <c r="P39" i="169"/>
  <c r="O39" i="169"/>
  <c r="L54" i="165"/>
  <c r="G34" i="166"/>
  <c r="H34" i="166" s="1"/>
  <c r="J34" i="166" s="1"/>
  <c r="K34" i="166" s="1"/>
  <c r="L34" i="166" s="1"/>
  <c r="O14" i="167"/>
  <c r="N14" i="167"/>
  <c r="N12" i="167" s="1"/>
  <c r="M12" i="167"/>
  <c r="O18" i="167"/>
  <c r="N18" i="167"/>
  <c r="O22" i="167"/>
  <c r="N22" i="167"/>
  <c r="O33" i="167"/>
  <c r="N33" i="167"/>
  <c r="O37" i="167"/>
  <c r="N37" i="167"/>
  <c r="O32" i="168"/>
  <c r="N32" i="168"/>
  <c r="O45" i="168"/>
  <c r="N45" i="168"/>
  <c r="P21" i="169"/>
  <c r="O21" i="169"/>
  <c r="P26" i="169"/>
  <c r="O26" i="169"/>
  <c r="P40" i="169"/>
  <c r="O40" i="169"/>
  <c r="J51" i="165"/>
  <c r="K52" i="165"/>
  <c r="K51" i="165" s="1"/>
  <c r="O16" i="168"/>
  <c r="N16" i="168"/>
  <c r="O20" i="168"/>
  <c r="N20" i="168"/>
  <c r="O24" i="168"/>
  <c r="N24" i="168"/>
  <c r="K12" i="168"/>
  <c r="K9" i="168" s="1"/>
  <c r="M28" i="168"/>
  <c r="O40" i="168"/>
  <c r="N40" i="168"/>
  <c r="P16" i="169"/>
  <c r="O16" i="169"/>
  <c r="P27" i="169"/>
  <c r="O27" i="169"/>
  <c r="P32" i="169"/>
  <c r="O32" i="169"/>
  <c r="P41" i="169"/>
  <c r="O41" i="169"/>
  <c r="M12" i="169"/>
  <c r="N15" i="167"/>
  <c r="N17" i="167"/>
  <c r="N19" i="167"/>
  <c r="N21" i="167"/>
  <c r="N23" i="167"/>
  <c r="N30" i="167"/>
  <c r="N32" i="167"/>
  <c r="N34" i="167"/>
  <c r="N36" i="167"/>
  <c r="F32" i="172"/>
  <c r="I32" i="172" s="1"/>
  <c r="W648" i="171"/>
  <c r="W645" i="171"/>
  <c r="W598" i="171"/>
  <c r="W646" i="171"/>
  <c r="W602" i="171"/>
  <c r="W642" i="171"/>
  <c r="W600" i="171"/>
  <c r="W597" i="171"/>
  <c r="W647" i="171"/>
  <c r="W599" i="171"/>
  <c r="I14" i="172"/>
  <c r="F14" i="172"/>
  <c r="I20" i="172"/>
  <c r="F20" i="172"/>
  <c r="I26" i="172"/>
  <c r="P660" i="171"/>
  <c r="P640" i="171"/>
  <c r="P659" i="171"/>
  <c r="P651" i="171"/>
  <c r="P643" i="171"/>
  <c r="P634" i="171"/>
  <c r="P649" i="171"/>
  <c r="P632" i="171"/>
  <c r="P624" i="171"/>
  <c r="P661" i="171"/>
  <c r="P641" i="171"/>
  <c r="P622" i="171"/>
  <c r="P658" i="171"/>
  <c r="P642" i="171"/>
  <c r="P633" i="171"/>
  <c r="P623" i="171"/>
  <c r="I22" i="172"/>
  <c r="F22" i="172"/>
  <c r="F28" i="172"/>
  <c r="I28" i="172" s="1"/>
  <c r="I34" i="172"/>
  <c r="W595" i="171"/>
  <c r="W596" i="171"/>
  <c r="W641" i="171"/>
  <c r="W640" i="171"/>
  <c r="W644" i="171"/>
  <c r="W603" i="171"/>
  <c r="W643" i="171"/>
  <c r="I5" i="172"/>
  <c r="F5" i="172"/>
  <c r="I7" i="172"/>
  <c r="F7" i="172"/>
  <c r="F16" i="172"/>
  <c r="I16" i="172"/>
  <c r="F30" i="172"/>
  <c r="I30" i="172" s="1"/>
  <c r="I36" i="172"/>
  <c r="F36" i="172"/>
  <c r="F24" i="172"/>
  <c r="I24" i="172" s="1"/>
  <c r="F9" i="172"/>
  <c r="I9" i="172" s="1"/>
  <c r="I12" i="172"/>
  <c r="F12" i="172"/>
  <c r="F38" i="172"/>
  <c r="I38" i="172" s="1"/>
  <c r="I17" i="172"/>
  <c r="I25" i="172"/>
  <c r="F17" i="172"/>
  <c r="F25" i="172"/>
  <c r="F33" i="172"/>
  <c r="I33" i="172" s="1"/>
  <c r="I42" i="172"/>
  <c r="I8" i="172"/>
  <c r="I15" i="172"/>
  <c r="I23" i="172"/>
  <c r="I31" i="172"/>
  <c r="I39" i="172"/>
  <c r="I6" i="172"/>
  <c r="I13" i="172"/>
  <c r="F18" i="172"/>
  <c r="I18" i="172" s="1"/>
  <c r="F26" i="172"/>
  <c r="F34" i="172"/>
  <c r="F43" i="172"/>
  <c r="I43" i="172" s="1"/>
  <c r="U666" i="171"/>
  <c r="U662" i="171"/>
  <c r="U658" i="171"/>
  <c r="U654" i="171"/>
  <c r="U650" i="171"/>
  <c r="U646" i="171"/>
  <c r="U642" i="171"/>
  <c r="U665" i="171"/>
  <c r="U661" i="171"/>
  <c r="U657" i="171"/>
  <c r="U653" i="171"/>
  <c r="U649" i="171"/>
  <c r="U645" i="171"/>
  <c r="U641" i="171"/>
  <c r="U637" i="171"/>
  <c r="U633" i="171"/>
  <c r="F6" i="172"/>
  <c r="F13" i="172"/>
  <c r="F21" i="172"/>
  <c r="I21" i="172" s="1"/>
  <c r="F29" i="172"/>
  <c r="I29" i="172" s="1"/>
  <c r="F37" i="172"/>
  <c r="I37" i="172" s="1"/>
  <c r="I40" i="172"/>
  <c r="I4" i="172"/>
  <c r="I11" i="172"/>
  <c r="I19" i="172"/>
  <c r="I27" i="172"/>
  <c r="I35" i="172"/>
  <c r="F40" i="172"/>
  <c r="C22" i="2" l="1"/>
  <c r="K25" i="2" s="1"/>
  <c r="M25" i="2" s="1"/>
  <c r="G12" i="2"/>
  <c r="C12" i="2" s="1"/>
  <c r="J15" i="2" s="1"/>
  <c r="K15" i="2" s="1"/>
  <c r="M15" i="2" s="1"/>
  <c r="O15" i="2" s="1"/>
  <c r="J567" i="171"/>
  <c r="E567" i="171" s="1"/>
  <c r="J565" i="171"/>
  <c r="E565" i="171" s="1"/>
  <c r="J563" i="171"/>
  <c r="E563" i="171" s="1"/>
  <c r="J561" i="171"/>
  <c r="E561" i="171" s="1"/>
  <c r="J564" i="171"/>
  <c r="E564" i="171" s="1"/>
  <c r="J566" i="171"/>
  <c r="E566" i="171" s="1"/>
  <c r="J568" i="171"/>
  <c r="E568" i="171" s="1"/>
  <c r="J560" i="171"/>
  <c r="E560" i="171" s="1"/>
  <c r="J562" i="171"/>
  <c r="E562" i="171" s="1"/>
  <c r="AD639" i="171"/>
  <c r="AD638" i="171"/>
  <c r="AD634" i="171"/>
  <c r="AD631" i="171"/>
  <c r="AD627" i="171"/>
  <c r="AD623" i="171"/>
  <c r="AD629" i="171"/>
  <c r="AD625" i="171"/>
  <c r="AD637" i="171"/>
  <c r="AD635" i="171"/>
  <c r="AD622" i="171"/>
  <c r="AD594" i="171"/>
  <c r="AD586" i="171"/>
  <c r="AD578" i="171"/>
  <c r="AD589" i="171"/>
  <c r="AD581" i="171"/>
  <c r="AD626" i="171"/>
  <c r="AD592" i="171"/>
  <c r="AD584" i="171"/>
  <c r="AD624" i="171"/>
  <c r="AD587" i="171"/>
  <c r="AD579" i="171"/>
  <c r="AD636" i="171"/>
  <c r="AD628" i="171"/>
  <c r="AD593" i="171"/>
  <c r="AD585" i="171"/>
  <c r="AD577" i="171"/>
  <c r="AD630" i="171"/>
  <c r="AD412" i="171"/>
  <c r="AD404" i="171"/>
  <c r="AD591" i="171"/>
  <c r="AD590" i="171"/>
  <c r="AD588" i="171"/>
  <c r="AD583" i="171"/>
  <c r="AD582" i="171"/>
  <c r="AD580" i="171"/>
  <c r="AD632" i="171"/>
  <c r="AD410" i="171"/>
  <c r="AD633" i="171"/>
  <c r="AD414" i="171"/>
  <c r="AD407" i="171"/>
  <c r="AD401" i="171"/>
  <c r="AD413" i="171"/>
  <c r="AD408" i="171"/>
  <c r="AD400" i="171"/>
  <c r="AD376" i="171"/>
  <c r="AD371" i="171"/>
  <c r="AD411" i="171"/>
  <c r="AD403" i="171"/>
  <c r="AD379" i="171"/>
  <c r="AD377" i="171"/>
  <c r="AD406" i="171"/>
  <c r="AD402" i="171"/>
  <c r="AD375" i="171"/>
  <c r="AD415" i="171"/>
  <c r="AD409" i="171"/>
  <c r="AD378" i="171"/>
  <c r="AD373" i="171"/>
  <c r="AD374" i="171"/>
  <c r="AD372" i="171"/>
  <c r="AD399" i="171"/>
  <c r="AD398" i="171"/>
  <c r="AD405" i="171"/>
  <c r="AD153" i="171"/>
  <c r="AD149" i="171"/>
  <c r="AD145" i="171"/>
  <c r="AD141" i="171"/>
  <c r="AD137" i="171"/>
  <c r="AD152" i="171"/>
  <c r="AD148" i="171"/>
  <c r="AD144" i="171"/>
  <c r="AD140" i="171"/>
  <c r="AD151" i="171"/>
  <c r="AD147" i="171"/>
  <c r="AD143" i="171"/>
  <c r="AD139" i="171"/>
  <c r="AD138" i="171"/>
  <c r="AD13" i="171"/>
  <c r="AD5" i="171"/>
  <c r="AD150" i="171"/>
  <c r="AD18" i="171"/>
  <c r="AD10" i="171"/>
  <c r="AD2" i="171"/>
  <c r="AD154" i="171"/>
  <c r="AD146" i="171"/>
  <c r="AD142" i="171"/>
  <c r="AD12" i="171"/>
  <c r="AD19" i="171"/>
  <c r="AD4" i="171"/>
  <c r="AD11" i="171"/>
  <c r="AD17" i="171"/>
  <c r="AD3" i="171"/>
  <c r="AD9" i="171"/>
  <c r="AD16" i="171"/>
  <c r="AD15" i="171"/>
  <c r="AD14" i="171"/>
  <c r="AD8" i="171"/>
  <c r="AD7" i="171"/>
  <c r="AD6" i="171"/>
  <c r="O175" i="2"/>
  <c r="N175" i="2"/>
  <c r="W664" i="171"/>
  <c r="W661" i="171"/>
  <c r="W619" i="171"/>
  <c r="W614" i="171"/>
  <c r="W666" i="171"/>
  <c r="W662" i="171"/>
  <c r="W618" i="171"/>
  <c r="W665" i="171"/>
  <c r="W621" i="171"/>
  <c r="W613" i="171"/>
  <c r="W658" i="171"/>
  <c r="W620" i="171"/>
  <c r="W617" i="171"/>
  <c r="W663" i="171"/>
  <c r="W615" i="171"/>
  <c r="W659" i="171"/>
  <c r="W616" i="171"/>
  <c r="W660" i="171"/>
  <c r="W309" i="171"/>
  <c r="W310" i="171"/>
  <c r="W361" i="171"/>
  <c r="W359" i="171"/>
  <c r="W357" i="171"/>
  <c r="W355" i="171"/>
  <c r="W353" i="171"/>
  <c r="W314" i="171"/>
  <c r="W360" i="171"/>
  <c r="W312" i="171"/>
  <c r="W308" i="171"/>
  <c r="W264" i="171"/>
  <c r="W316" i="171"/>
  <c r="W265" i="171"/>
  <c r="W358" i="171"/>
  <c r="W266" i="171"/>
  <c r="W218" i="171"/>
  <c r="W267" i="171"/>
  <c r="W313" i="171"/>
  <c r="W269" i="171"/>
  <c r="W354" i="171"/>
  <c r="W270" i="171"/>
  <c r="W356" i="171"/>
  <c r="W311" i="171"/>
  <c r="W362" i="171"/>
  <c r="W268" i="171"/>
  <c r="W315" i="171"/>
  <c r="W180" i="171"/>
  <c r="W179" i="171"/>
  <c r="W173" i="171"/>
  <c r="W263" i="171"/>
  <c r="W178" i="171"/>
  <c r="W177" i="171"/>
  <c r="W271" i="171"/>
  <c r="W181" i="171"/>
  <c r="W136" i="171"/>
  <c r="W130" i="171"/>
  <c r="W86" i="171"/>
  <c r="W46" i="171"/>
  <c r="W38" i="171"/>
  <c r="W133" i="171"/>
  <c r="W89" i="171"/>
  <c r="W84" i="171"/>
  <c r="W40" i="171"/>
  <c r="W174" i="171"/>
  <c r="W135" i="171"/>
  <c r="W131" i="171"/>
  <c r="W87" i="171"/>
  <c r="W45" i="171"/>
  <c r="W175" i="171"/>
  <c r="W90" i="171"/>
  <c r="W42" i="171"/>
  <c r="W83" i="171"/>
  <c r="W43" i="171"/>
  <c r="W44" i="171"/>
  <c r="W129" i="171"/>
  <c r="W176" i="171"/>
  <c r="W128" i="171"/>
  <c r="W39" i="171"/>
  <c r="W134" i="171"/>
  <c r="W88" i="171"/>
  <c r="W85" i="171"/>
  <c r="W132" i="171"/>
  <c r="W91" i="171"/>
  <c r="W41" i="171"/>
  <c r="AD310" i="171"/>
  <c r="AD302" i="171"/>
  <c r="AD311" i="171"/>
  <c r="AD303" i="171"/>
  <c r="AD315" i="171"/>
  <c r="AD307" i="171"/>
  <c r="AD299" i="171"/>
  <c r="AD359" i="171"/>
  <c r="AD351" i="171"/>
  <c r="AD316" i="171"/>
  <c r="AD257" i="171"/>
  <c r="AD358" i="171"/>
  <c r="AD350" i="171"/>
  <c r="AD314" i="171"/>
  <c r="AD306" i="171"/>
  <c r="AD258" i="171"/>
  <c r="AD216" i="171"/>
  <c r="AD214" i="171"/>
  <c r="AD212" i="171"/>
  <c r="AD210" i="171"/>
  <c r="AD357" i="171"/>
  <c r="AD349" i="171"/>
  <c r="AD259" i="171"/>
  <c r="AD356" i="171"/>
  <c r="AD348" i="171"/>
  <c r="AD260" i="171"/>
  <c r="AD354" i="171"/>
  <c r="AD346" i="171"/>
  <c r="AD262" i="171"/>
  <c r="AD254" i="171"/>
  <c r="AD217" i="171"/>
  <c r="AD215" i="171"/>
  <c r="AD213" i="171"/>
  <c r="AD360" i="171"/>
  <c r="AD344" i="171"/>
  <c r="AD313" i="171"/>
  <c r="AD355" i="171"/>
  <c r="AD312" i="171"/>
  <c r="AD211" i="171"/>
  <c r="AD361" i="171"/>
  <c r="AD345" i="171"/>
  <c r="AD301" i="171"/>
  <c r="AD300" i="171"/>
  <c r="AD261" i="171"/>
  <c r="AD256" i="171"/>
  <c r="AD352" i="171"/>
  <c r="AD309" i="171"/>
  <c r="AD308" i="171"/>
  <c r="AD304" i="171"/>
  <c r="AD305" i="171"/>
  <c r="AD353" i="171"/>
  <c r="AD209" i="171"/>
  <c r="AD255" i="171"/>
  <c r="AD81" i="171"/>
  <c r="AD347" i="171"/>
  <c r="AD76" i="171"/>
  <c r="AD79" i="171"/>
  <c r="AD82" i="171"/>
  <c r="AD74" i="171"/>
  <c r="AD77" i="171"/>
  <c r="AD126" i="171"/>
  <c r="AD122" i="171"/>
  <c r="AD78" i="171"/>
  <c r="AD75" i="171"/>
  <c r="AD125" i="171"/>
  <c r="AD121" i="171"/>
  <c r="AD124" i="171"/>
  <c r="AD120" i="171"/>
  <c r="AD127" i="171"/>
  <c r="AD123" i="171"/>
  <c r="AD119" i="171"/>
  <c r="AD80" i="171"/>
  <c r="AD343" i="171"/>
  <c r="AD338" i="171"/>
  <c r="AD297" i="171"/>
  <c r="AD249" i="171"/>
  <c r="AD337" i="171"/>
  <c r="AD290" i="171"/>
  <c r="AD250" i="171"/>
  <c r="AD208" i="171"/>
  <c r="AD206" i="171"/>
  <c r="AD342" i="171"/>
  <c r="AD298" i="171"/>
  <c r="AD291" i="171"/>
  <c r="AD251" i="171"/>
  <c r="AD341" i="171"/>
  <c r="AD336" i="171"/>
  <c r="AD292" i="171"/>
  <c r="AD252" i="171"/>
  <c r="AD340" i="171"/>
  <c r="AD294" i="171"/>
  <c r="AD246" i="171"/>
  <c r="AD339" i="171"/>
  <c r="AD205" i="171"/>
  <c r="AD295" i="171"/>
  <c r="AD253" i="171"/>
  <c r="AD247" i="171"/>
  <c r="AD207" i="171"/>
  <c r="AD204" i="171"/>
  <c r="AD202" i="171"/>
  <c r="AD200" i="171"/>
  <c r="AD335" i="171"/>
  <c r="AD296" i="171"/>
  <c r="AD293" i="171"/>
  <c r="AD248" i="171"/>
  <c r="AD245" i="171"/>
  <c r="AD203" i="171"/>
  <c r="AD201" i="171"/>
  <c r="AD73" i="171"/>
  <c r="AD65" i="171"/>
  <c r="AD68" i="171"/>
  <c r="AD71" i="171"/>
  <c r="AD66" i="171"/>
  <c r="AD69" i="171"/>
  <c r="AD118" i="171"/>
  <c r="AD114" i="171"/>
  <c r="AD110" i="171"/>
  <c r="AD117" i="171"/>
  <c r="AD113" i="171"/>
  <c r="AD72" i="171"/>
  <c r="AD116" i="171"/>
  <c r="AD112" i="171"/>
  <c r="AD70" i="171"/>
  <c r="AD115" i="171"/>
  <c r="AD111" i="171"/>
  <c r="AD67" i="171"/>
  <c r="O27" i="3"/>
  <c r="N27" i="3"/>
  <c r="J549" i="171"/>
  <c r="E549" i="171" s="1"/>
  <c r="J547" i="171"/>
  <c r="E547" i="171" s="1"/>
  <c r="J545" i="171"/>
  <c r="E545" i="171" s="1"/>
  <c r="J543" i="171"/>
  <c r="E543" i="171" s="1"/>
  <c r="J548" i="171"/>
  <c r="E548" i="171" s="1"/>
  <c r="J550" i="171"/>
  <c r="E550" i="171" s="1"/>
  <c r="J542" i="171"/>
  <c r="E542" i="171" s="1"/>
  <c r="J544" i="171"/>
  <c r="E544" i="171" s="1"/>
  <c r="J546" i="171"/>
  <c r="E546" i="171" s="1"/>
  <c r="J559" i="171"/>
  <c r="E559" i="171" s="1"/>
  <c r="J557" i="171"/>
  <c r="E557" i="171" s="1"/>
  <c r="J555" i="171"/>
  <c r="E555" i="171" s="1"/>
  <c r="J553" i="171"/>
  <c r="E553" i="171" s="1"/>
  <c r="J551" i="171"/>
  <c r="E551" i="171" s="1"/>
  <c r="J556" i="171"/>
  <c r="E556" i="171" s="1"/>
  <c r="J558" i="171"/>
  <c r="E558" i="171" s="1"/>
  <c r="J552" i="171"/>
  <c r="E552" i="171" s="1"/>
  <c r="J554" i="171"/>
  <c r="E554" i="171" s="1"/>
  <c r="AD647" i="171"/>
  <c r="AD643" i="171"/>
  <c r="AD646" i="171"/>
  <c r="AD642" i="171"/>
  <c r="AD644" i="171"/>
  <c r="AD641" i="171"/>
  <c r="AD601" i="171"/>
  <c r="AD597" i="171"/>
  <c r="AD600" i="171"/>
  <c r="AD645" i="171"/>
  <c r="AD599" i="171"/>
  <c r="AD648" i="171"/>
  <c r="AD602" i="171"/>
  <c r="AD595" i="171"/>
  <c r="AD640" i="171"/>
  <c r="AD596" i="171"/>
  <c r="AD598" i="171"/>
  <c r="AD603" i="171"/>
  <c r="AD388" i="171"/>
  <c r="AD381" i="171"/>
  <c r="AD387" i="171"/>
  <c r="AD384" i="171"/>
  <c r="AD382" i="171"/>
  <c r="AD380" i="171"/>
  <c r="AD383" i="171"/>
  <c r="AD385" i="171"/>
  <c r="AD386" i="171"/>
  <c r="AD161" i="171"/>
  <c r="AD157" i="171"/>
  <c r="AD160" i="171"/>
  <c r="AD156" i="171"/>
  <c r="AD163" i="171"/>
  <c r="AD159" i="171"/>
  <c r="AD155" i="171"/>
  <c r="AD27" i="171"/>
  <c r="AD21" i="171"/>
  <c r="AD26" i="171"/>
  <c r="AD162" i="171"/>
  <c r="AD158" i="171"/>
  <c r="AD25" i="171"/>
  <c r="AD24" i="171"/>
  <c r="AD23" i="171"/>
  <c r="AD28" i="171"/>
  <c r="AD22" i="171"/>
  <c r="AD20" i="171"/>
  <c r="P664" i="171"/>
  <c r="P656" i="171"/>
  <c r="P652" i="171"/>
  <c r="P648" i="171"/>
  <c r="P644" i="171"/>
  <c r="P663" i="171"/>
  <c r="P655" i="171"/>
  <c r="P647" i="171"/>
  <c r="P639" i="171"/>
  <c r="P635" i="171"/>
  <c r="P665" i="171"/>
  <c r="P662" i="171"/>
  <c r="P646" i="171"/>
  <c r="P628" i="171"/>
  <c r="P657" i="171"/>
  <c r="P654" i="171"/>
  <c r="P630" i="171"/>
  <c r="P626" i="171"/>
  <c r="P653" i="171"/>
  <c r="P629" i="171"/>
  <c r="P638" i="171"/>
  <c r="P637" i="171"/>
  <c r="P636" i="171"/>
  <c r="P645" i="171"/>
  <c r="P627" i="171"/>
  <c r="P666" i="171"/>
  <c r="P136" i="171"/>
  <c r="P135" i="171"/>
  <c r="P134" i="171"/>
  <c r="P133" i="171"/>
  <c r="P132" i="171"/>
  <c r="P131" i="171"/>
  <c r="P87" i="171"/>
  <c r="P79" i="171"/>
  <c r="P71" i="171"/>
  <c r="P63" i="171"/>
  <c r="P55" i="171"/>
  <c r="P42" i="171"/>
  <c r="P34" i="171"/>
  <c r="P26" i="171"/>
  <c r="P90" i="171"/>
  <c r="P82" i="171"/>
  <c r="P50" i="171"/>
  <c r="P77" i="171"/>
  <c r="P69" i="171"/>
  <c r="P61" i="171"/>
  <c r="P53" i="171"/>
  <c r="P44" i="171"/>
  <c r="P36" i="171"/>
  <c r="P28" i="171"/>
  <c r="P88" i="171"/>
  <c r="P80" i="171"/>
  <c r="P72" i="171"/>
  <c r="P64" i="171"/>
  <c r="P33" i="171"/>
  <c r="P25" i="171"/>
  <c r="P17" i="171"/>
  <c r="P9" i="171"/>
  <c r="P91" i="171"/>
  <c r="P67" i="171"/>
  <c r="P59" i="171"/>
  <c r="P51" i="171"/>
  <c r="P46" i="171"/>
  <c r="P125" i="171"/>
  <c r="P117" i="171"/>
  <c r="P113" i="171"/>
  <c r="P109" i="171"/>
  <c r="P105" i="171"/>
  <c r="P97" i="171"/>
  <c r="P70" i="171"/>
  <c r="P16" i="171"/>
  <c r="P89" i="171"/>
  <c r="P86" i="171"/>
  <c r="P8" i="171"/>
  <c r="P124" i="171"/>
  <c r="P116" i="171"/>
  <c r="P108" i="171"/>
  <c r="P104" i="171"/>
  <c r="P100" i="171"/>
  <c r="P96" i="171"/>
  <c r="P43" i="171"/>
  <c r="P32" i="171"/>
  <c r="P15" i="171"/>
  <c r="P81" i="171"/>
  <c r="P78" i="171"/>
  <c r="P7" i="171"/>
  <c r="P6" i="171"/>
  <c r="P127" i="171"/>
  <c r="P123" i="171"/>
  <c r="P115" i="171"/>
  <c r="P107" i="171"/>
  <c r="P99" i="171"/>
  <c r="P95" i="171"/>
  <c r="P62" i="171"/>
  <c r="P35" i="171"/>
  <c r="P19" i="171"/>
  <c r="P60" i="171"/>
  <c r="P45" i="171"/>
  <c r="P27" i="171"/>
  <c r="P126" i="171"/>
  <c r="P122" i="171"/>
  <c r="P118" i="171"/>
  <c r="P114" i="171"/>
  <c r="P106" i="171"/>
  <c r="P98" i="171"/>
  <c r="P73" i="171"/>
  <c r="P54" i="171"/>
  <c r="P18" i="171"/>
  <c r="P52" i="171"/>
  <c r="P37" i="171"/>
  <c r="P24" i="171"/>
  <c r="P10" i="171"/>
  <c r="O9" i="55"/>
  <c r="H393" i="171"/>
  <c r="H395" i="171"/>
  <c r="H397" i="171"/>
  <c r="H390" i="171"/>
  <c r="H396" i="171"/>
  <c r="H391" i="171"/>
  <c r="H389" i="171"/>
  <c r="H394" i="171"/>
  <c r="H392" i="171"/>
  <c r="K508" i="171"/>
  <c r="K510" i="171"/>
  <c r="K514" i="171"/>
  <c r="K506" i="171"/>
  <c r="E506" i="171" s="1"/>
  <c r="K513" i="171"/>
  <c r="K509" i="171"/>
  <c r="K469" i="171"/>
  <c r="E469" i="171" s="1"/>
  <c r="K467" i="171"/>
  <c r="E467" i="171" s="1"/>
  <c r="K465" i="171"/>
  <c r="E465" i="171" s="1"/>
  <c r="K463" i="171"/>
  <c r="E463" i="171" s="1"/>
  <c r="K461" i="171"/>
  <c r="E461" i="171" s="1"/>
  <c r="K468" i="171"/>
  <c r="E468" i="171" s="1"/>
  <c r="K466" i="171"/>
  <c r="E466" i="171" s="1"/>
  <c r="K464" i="171"/>
  <c r="E464" i="171" s="1"/>
  <c r="K462" i="171"/>
  <c r="E462" i="171" s="1"/>
  <c r="K511" i="171"/>
  <c r="K512" i="171"/>
  <c r="K507" i="171"/>
  <c r="R3" i="25"/>
  <c r="V5" i="25" s="1"/>
  <c r="O107" i="2"/>
  <c r="N107" i="2"/>
  <c r="K484" i="171"/>
  <c r="K486" i="171"/>
  <c r="K479" i="171"/>
  <c r="K441" i="171"/>
  <c r="E441" i="171" s="1"/>
  <c r="K439" i="171"/>
  <c r="E439" i="171" s="1"/>
  <c r="K437" i="171"/>
  <c r="E437" i="171" s="1"/>
  <c r="K435" i="171"/>
  <c r="E435" i="171" s="1"/>
  <c r="K442" i="171"/>
  <c r="E442" i="171" s="1"/>
  <c r="K440" i="171"/>
  <c r="E440" i="171" s="1"/>
  <c r="K438" i="171"/>
  <c r="E438" i="171" s="1"/>
  <c r="K436" i="171"/>
  <c r="E436" i="171" s="1"/>
  <c r="K434" i="171"/>
  <c r="E434" i="171" s="1"/>
  <c r="K481" i="171"/>
  <c r="K487" i="171"/>
  <c r="K485" i="171"/>
  <c r="K483" i="171"/>
  <c r="K482" i="171"/>
  <c r="K480" i="171"/>
  <c r="M663" i="171"/>
  <c r="M660" i="171"/>
  <c r="M657" i="171"/>
  <c r="M647" i="171"/>
  <c r="M644" i="171"/>
  <c r="M641" i="171"/>
  <c r="M630" i="171"/>
  <c r="M626" i="171"/>
  <c r="M622" i="171"/>
  <c r="M614" i="171"/>
  <c r="M666" i="171"/>
  <c r="M650" i="171"/>
  <c r="M638" i="171"/>
  <c r="M617" i="171"/>
  <c r="M609" i="171"/>
  <c r="M601" i="171"/>
  <c r="M662" i="171"/>
  <c r="M658" i="171"/>
  <c r="M642" i="171"/>
  <c r="M639" i="171"/>
  <c r="M621" i="171"/>
  <c r="M613" i="171"/>
  <c r="M605" i="171"/>
  <c r="M664" i="171"/>
  <c r="M661" i="171"/>
  <c r="M651" i="171"/>
  <c r="M648" i="171"/>
  <c r="M645" i="171"/>
  <c r="M637" i="171"/>
  <c r="M635" i="171"/>
  <c r="M629" i="171"/>
  <c r="M625" i="171"/>
  <c r="M616" i="171"/>
  <c r="M649" i="171"/>
  <c r="M631" i="171"/>
  <c r="M611" i="171"/>
  <c r="M594" i="171"/>
  <c r="M586" i="171"/>
  <c r="M578" i="171"/>
  <c r="M652" i="171"/>
  <c r="M618" i="171"/>
  <c r="M597" i="171"/>
  <c r="M589" i="171"/>
  <c r="M581" i="171"/>
  <c r="M655" i="171"/>
  <c r="M654" i="171"/>
  <c r="M653" i="171"/>
  <c r="M624" i="171"/>
  <c r="M610" i="171"/>
  <c r="M607" i="171"/>
  <c r="M604" i="171"/>
  <c r="M602" i="171"/>
  <c r="M599" i="171"/>
  <c r="M592" i="171"/>
  <c r="M584" i="171"/>
  <c r="M665" i="171"/>
  <c r="M656" i="171"/>
  <c r="M640" i="171"/>
  <c r="M636" i="171"/>
  <c r="M634" i="171"/>
  <c r="M595" i="171"/>
  <c r="M587" i="171"/>
  <c r="M579" i="171"/>
  <c r="M620" i="171"/>
  <c r="M615" i="171"/>
  <c r="M612" i="171"/>
  <c r="M593" i="171"/>
  <c r="M585" i="171"/>
  <c r="M577" i="171"/>
  <c r="M633" i="171"/>
  <c r="M608" i="171"/>
  <c r="M598" i="171"/>
  <c r="M659" i="171"/>
  <c r="M646" i="171"/>
  <c r="M600" i="171"/>
  <c r="M628" i="171"/>
  <c r="M627" i="171"/>
  <c r="M643" i="171"/>
  <c r="M603" i="171"/>
  <c r="M606" i="171"/>
  <c r="M632" i="171"/>
  <c r="M623" i="171"/>
  <c r="M619" i="171"/>
  <c r="M596" i="171"/>
  <c r="M591" i="171"/>
  <c r="M590" i="171"/>
  <c r="M588" i="171"/>
  <c r="M583" i="171"/>
  <c r="M582" i="171"/>
  <c r="M580" i="171"/>
  <c r="M176" i="171"/>
  <c r="M175" i="171"/>
  <c r="M171" i="171"/>
  <c r="M167" i="171"/>
  <c r="M163" i="171"/>
  <c r="M159" i="171"/>
  <c r="M155" i="171"/>
  <c r="M181" i="171"/>
  <c r="M174" i="171"/>
  <c r="M170" i="171"/>
  <c r="M166" i="171"/>
  <c r="M162" i="171"/>
  <c r="M158" i="171"/>
  <c r="M154" i="171"/>
  <c r="M150" i="171"/>
  <c r="M146" i="171"/>
  <c r="M180" i="171"/>
  <c r="M151" i="171"/>
  <c r="M141" i="171"/>
  <c r="M45" i="171"/>
  <c r="M37" i="171"/>
  <c r="M29" i="171"/>
  <c r="M173" i="171"/>
  <c r="M152" i="171"/>
  <c r="M147" i="171"/>
  <c r="M142" i="171"/>
  <c r="M179" i="171"/>
  <c r="M148" i="171"/>
  <c r="M143" i="171"/>
  <c r="M39" i="171"/>
  <c r="M31" i="171"/>
  <c r="M23" i="171"/>
  <c r="M15" i="171"/>
  <c r="M7" i="171"/>
  <c r="M164" i="171"/>
  <c r="M160" i="171"/>
  <c r="M156" i="171"/>
  <c r="M153" i="171"/>
  <c r="M144" i="171"/>
  <c r="M44" i="171"/>
  <c r="M36" i="171"/>
  <c r="M28" i="171"/>
  <c r="M20" i="171"/>
  <c r="M12" i="171"/>
  <c r="M4" i="171"/>
  <c r="M177" i="171"/>
  <c r="M161" i="171"/>
  <c r="M157" i="171"/>
  <c r="M149" i="171"/>
  <c r="M137" i="171"/>
  <c r="M41" i="171"/>
  <c r="M33" i="171"/>
  <c r="M168" i="171"/>
  <c r="M165" i="171"/>
  <c r="M145" i="171"/>
  <c r="M138" i="171"/>
  <c r="M140" i="171"/>
  <c r="M24" i="171"/>
  <c r="M17" i="171"/>
  <c r="M10" i="171"/>
  <c r="M38" i="171"/>
  <c r="M22" i="171"/>
  <c r="M16" i="171"/>
  <c r="M9" i="171"/>
  <c r="M2" i="171"/>
  <c r="M40" i="171"/>
  <c r="M30" i="171"/>
  <c r="M8" i="171"/>
  <c r="M43" i="171"/>
  <c r="M42" i="171"/>
  <c r="M32" i="171"/>
  <c r="M21" i="171"/>
  <c r="M14" i="171"/>
  <c r="M172" i="171"/>
  <c r="M139" i="171"/>
  <c r="M13" i="171"/>
  <c r="M6" i="171"/>
  <c r="M35" i="171"/>
  <c r="M34" i="171"/>
  <c r="M19" i="171"/>
  <c r="M5" i="171"/>
  <c r="M178" i="171"/>
  <c r="M169" i="171"/>
  <c r="M27" i="171"/>
  <c r="M25" i="171"/>
  <c r="M11" i="171"/>
  <c r="M46" i="171"/>
  <c r="M26" i="171"/>
  <c r="M18" i="171"/>
  <c r="M3" i="171"/>
  <c r="L369" i="171"/>
  <c r="L367" i="171"/>
  <c r="L365" i="171"/>
  <c r="L363" i="171"/>
  <c r="L361" i="171"/>
  <c r="L359" i="171"/>
  <c r="L357" i="171"/>
  <c r="L355" i="171"/>
  <c r="L353" i="171"/>
  <c r="L351" i="171"/>
  <c r="L349" i="171"/>
  <c r="L347" i="171"/>
  <c r="L345" i="171"/>
  <c r="L343" i="171"/>
  <c r="L341" i="171"/>
  <c r="L339" i="171"/>
  <c r="L337" i="171"/>
  <c r="L335" i="171"/>
  <c r="L333" i="171"/>
  <c r="L331" i="171"/>
  <c r="L329" i="171"/>
  <c r="L327" i="171"/>
  <c r="L325" i="171"/>
  <c r="L323" i="171"/>
  <c r="L321" i="171"/>
  <c r="L319" i="171"/>
  <c r="L317" i="171"/>
  <c r="L370" i="171"/>
  <c r="L368" i="171"/>
  <c r="L366" i="171"/>
  <c r="L364" i="171"/>
  <c r="L362" i="171"/>
  <c r="L360" i="171"/>
  <c r="L358" i="171"/>
  <c r="L356" i="171"/>
  <c r="L354" i="171"/>
  <c r="L352" i="171"/>
  <c r="L350" i="171"/>
  <c r="L348" i="171"/>
  <c r="L346" i="171"/>
  <c r="L344" i="171"/>
  <c r="L342" i="171"/>
  <c r="L340" i="171"/>
  <c r="L338" i="171"/>
  <c r="L336" i="171"/>
  <c r="L334" i="171"/>
  <c r="L332" i="171"/>
  <c r="L330" i="171"/>
  <c r="L328" i="171"/>
  <c r="L326" i="171"/>
  <c r="L324" i="171"/>
  <c r="L322" i="171"/>
  <c r="L320" i="171"/>
  <c r="L318" i="171"/>
  <c r="L226" i="171"/>
  <c r="L224" i="171"/>
  <c r="L222" i="171"/>
  <c r="L220" i="171"/>
  <c r="L218" i="171"/>
  <c r="L225" i="171"/>
  <c r="L217" i="171"/>
  <c r="L216" i="171"/>
  <c r="L215" i="171"/>
  <c r="L214" i="171"/>
  <c r="L207" i="171"/>
  <c r="L219" i="171"/>
  <c r="L213" i="171"/>
  <c r="L210" i="171"/>
  <c r="L204" i="171"/>
  <c r="L221" i="171"/>
  <c r="L209" i="171"/>
  <c r="L211" i="171"/>
  <c r="L208" i="171"/>
  <c r="L199" i="171"/>
  <c r="L189" i="171"/>
  <c r="L186" i="171"/>
  <c r="L195" i="171"/>
  <c r="L192" i="171"/>
  <c r="L198" i="171"/>
  <c r="L185" i="171"/>
  <c r="L182" i="171"/>
  <c r="L191" i="171"/>
  <c r="L188" i="171"/>
  <c r="L206" i="171"/>
  <c r="L205" i="171"/>
  <c r="L203" i="171"/>
  <c r="L197" i="171"/>
  <c r="L194" i="171"/>
  <c r="L223" i="171"/>
  <c r="L200" i="171"/>
  <c r="L196" i="171"/>
  <c r="L183" i="171"/>
  <c r="L212" i="171"/>
  <c r="L89" i="171"/>
  <c r="L81" i="171"/>
  <c r="L73" i="171"/>
  <c r="L65" i="171"/>
  <c r="L57" i="171"/>
  <c r="L49" i="171"/>
  <c r="L184" i="171"/>
  <c r="L84" i="171"/>
  <c r="L76" i="171"/>
  <c r="L68" i="171"/>
  <c r="L60" i="171"/>
  <c r="L52" i="171"/>
  <c r="L190" i="171"/>
  <c r="L87" i="171"/>
  <c r="L79" i="171"/>
  <c r="L71" i="171"/>
  <c r="L63" i="171"/>
  <c r="L55" i="171"/>
  <c r="L47" i="171"/>
  <c r="L90" i="171"/>
  <c r="L82" i="171"/>
  <c r="L74" i="171"/>
  <c r="L66" i="171"/>
  <c r="L58" i="171"/>
  <c r="L50" i="171"/>
  <c r="L201" i="171"/>
  <c r="L85" i="171"/>
  <c r="L77" i="171"/>
  <c r="L69" i="171"/>
  <c r="L61" i="171"/>
  <c r="L53" i="171"/>
  <c r="L202" i="171"/>
  <c r="L193" i="171"/>
  <c r="L187" i="171"/>
  <c r="L54" i="171"/>
  <c r="L51" i="171"/>
  <c r="L48" i="171"/>
  <c r="L88" i="171"/>
  <c r="L70" i="171"/>
  <c r="L91" i="171"/>
  <c r="L86" i="171"/>
  <c r="L67" i="171"/>
  <c r="L80" i="171"/>
  <c r="L83" i="171"/>
  <c r="L78" i="171"/>
  <c r="L64" i="171"/>
  <c r="L75" i="171"/>
  <c r="L62" i="171"/>
  <c r="L59" i="171"/>
  <c r="L72" i="171"/>
  <c r="L56" i="171"/>
  <c r="K13" i="111"/>
  <c r="J13" i="111"/>
  <c r="I12" i="111"/>
  <c r="H666" i="171"/>
  <c r="E666" i="171" s="1"/>
  <c r="H662" i="171"/>
  <c r="H658" i="171"/>
  <c r="H654" i="171"/>
  <c r="H650" i="171"/>
  <c r="H646" i="171"/>
  <c r="H642" i="171"/>
  <c r="H665" i="171"/>
  <c r="H661" i="171"/>
  <c r="E661" i="171" s="1"/>
  <c r="H657" i="171"/>
  <c r="H653" i="171"/>
  <c r="H649" i="171"/>
  <c r="H645" i="171"/>
  <c r="H641" i="171"/>
  <c r="H637" i="171"/>
  <c r="H633" i="171"/>
  <c r="H663" i="171"/>
  <c r="H660" i="171"/>
  <c r="H647" i="171"/>
  <c r="H644" i="171"/>
  <c r="H630" i="171"/>
  <c r="H626" i="171"/>
  <c r="H622" i="171"/>
  <c r="H655" i="171"/>
  <c r="H652" i="171"/>
  <c r="H632" i="171"/>
  <c r="H628" i="171"/>
  <c r="H624" i="171"/>
  <c r="H639" i="171"/>
  <c r="H648" i="171"/>
  <c r="H625" i="171"/>
  <c r="H651" i="171"/>
  <c r="H631" i="171"/>
  <c r="H629" i="171"/>
  <c r="H664" i="171"/>
  <c r="H638" i="171"/>
  <c r="H659" i="171"/>
  <c r="H643" i="171"/>
  <c r="H623" i="171"/>
  <c r="H634" i="171"/>
  <c r="H656" i="171"/>
  <c r="H635" i="171"/>
  <c r="H636" i="171"/>
  <c r="H627" i="171"/>
  <c r="H640" i="171"/>
  <c r="H136" i="171"/>
  <c r="H86" i="171"/>
  <c r="H78" i="171"/>
  <c r="H70" i="171"/>
  <c r="E70" i="171" s="1"/>
  <c r="H62" i="171"/>
  <c r="H54" i="171"/>
  <c r="H40" i="171"/>
  <c r="H32" i="171"/>
  <c r="H24" i="171"/>
  <c r="H89" i="171"/>
  <c r="H81" i="171"/>
  <c r="H73" i="171"/>
  <c r="H65" i="171"/>
  <c r="H57" i="171"/>
  <c r="H49" i="171"/>
  <c r="H133" i="171"/>
  <c r="H130" i="171"/>
  <c r="H129" i="171"/>
  <c r="H128" i="171"/>
  <c r="H127" i="171"/>
  <c r="E127" i="171" s="1"/>
  <c r="H126" i="171"/>
  <c r="H125" i="171"/>
  <c r="H124" i="171"/>
  <c r="H123" i="171"/>
  <c r="H122" i="171"/>
  <c r="H121" i="171"/>
  <c r="H120" i="171"/>
  <c r="H119" i="171"/>
  <c r="E119" i="171" s="1"/>
  <c r="H118" i="171"/>
  <c r="H117" i="171"/>
  <c r="H116" i="171"/>
  <c r="H115" i="171"/>
  <c r="H114" i="171"/>
  <c r="H113" i="171"/>
  <c r="H112" i="171"/>
  <c r="H111" i="171"/>
  <c r="E111" i="171" s="1"/>
  <c r="H110" i="171"/>
  <c r="H109" i="171"/>
  <c r="H108" i="171"/>
  <c r="H107" i="171"/>
  <c r="H106" i="171"/>
  <c r="H105" i="171"/>
  <c r="H104" i="171"/>
  <c r="H103" i="171"/>
  <c r="E103" i="171" s="1"/>
  <c r="H102" i="171"/>
  <c r="H101" i="171"/>
  <c r="H100" i="171"/>
  <c r="H99" i="171"/>
  <c r="H98" i="171"/>
  <c r="H97" i="171"/>
  <c r="H96" i="171"/>
  <c r="H95" i="171"/>
  <c r="E95" i="171" s="1"/>
  <c r="H94" i="171"/>
  <c r="H93" i="171"/>
  <c r="H92" i="171"/>
  <c r="H84" i="171"/>
  <c r="H76" i="171"/>
  <c r="H68" i="171"/>
  <c r="H60" i="171"/>
  <c r="H52" i="171"/>
  <c r="H42" i="171"/>
  <c r="H34" i="171"/>
  <c r="H26" i="171"/>
  <c r="H18" i="171"/>
  <c r="H10" i="171"/>
  <c r="H2" i="171"/>
  <c r="H135" i="171"/>
  <c r="H87" i="171"/>
  <c r="E87" i="171" s="1"/>
  <c r="H79" i="171"/>
  <c r="H71" i="171"/>
  <c r="H63" i="171"/>
  <c r="H55" i="171"/>
  <c r="H47" i="171"/>
  <c r="H39" i="171"/>
  <c r="H31" i="171"/>
  <c r="H23" i="171"/>
  <c r="E23" i="171" s="1"/>
  <c r="H15" i="171"/>
  <c r="H7" i="171"/>
  <c r="H131" i="171"/>
  <c r="H90" i="171"/>
  <c r="H82" i="171"/>
  <c r="H74" i="171"/>
  <c r="H66" i="171"/>
  <c r="H58" i="171"/>
  <c r="E58" i="171" s="1"/>
  <c r="H50" i="171"/>
  <c r="H44" i="171"/>
  <c r="H36" i="171"/>
  <c r="H28" i="171"/>
  <c r="H72" i="171"/>
  <c r="H56" i="171"/>
  <c r="H53" i="171"/>
  <c r="H46" i="171"/>
  <c r="E46" i="171" s="1"/>
  <c r="H37" i="171"/>
  <c r="H3" i="171"/>
  <c r="H51" i="171"/>
  <c r="H48" i="171"/>
  <c r="H29" i="171"/>
  <c r="H17" i="171"/>
  <c r="H69" i="171"/>
  <c r="H38" i="171"/>
  <c r="H22" i="171"/>
  <c r="H16" i="171"/>
  <c r="H9" i="171"/>
  <c r="H88" i="171"/>
  <c r="H41" i="171"/>
  <c r="H30" i="171"/>
  <c r="H8" i="171"/>
  <c r="H134" i="171"/>
  <c r="E134" i="171" s="1"/>
  <c r="H91" i="171"/>
  <c r="H85" i="171"/>
  <c r="H67" i="171"/>
  <c r="H43" i="171"/>
  <c r="H33" i="171"/>
  <c r="H21" i="171"/>
  <c r="H14" i="171"/>
  <c r="H80" i="171"/>
  <c r="E80" i="171" s="1"/>
  <c r="H77" i="171"/>
  <c r="H20" i="171"/>
  <c r="H13" i="171"/>
  <c r="H6" i="171"/>
  <c r="H132" i="171"/>
  <c r="H83" i="171"/>
  <c r="H64" i="171"/>
  <c r="H61" i="171"/>
  <c r="H45" i="171"/>
  <c r="H35" i="171"/>
  <c r="H19" i="171"/>
  <c r="H12" i="171"/>
  <c r="H5" i="171"/>
  <c r="H75" i="171"/>
  <c r="H59" i="171"/>
  <c r="H27" i="171"/>
  <c r="E27" i="171" s="1"/>
  <c r="H25" i="171"/>
  <c r="H11" i="171"/>
  <c r="H4" i="171"/>
  <c r="K500" i="171"/>
  <c r="K502" i="171"/>
  <c r="K497" i="171"/>
  <c r="K459" i="171"/>
  <c r="E459" i="171" s="1"/>
  <c r="K457" i="171"/>
  <c r="E457" i="171" s="1"/>
  <c r="K455" i="171"/>
  <c r="E455" i="171" s="1"/>
  <c r="K453" i="171"/>
  <c r="E453" i="171" s="1"/>
  <c r="K498" i="171"/>
  <c r="K460" i="171"/>
  <c r="E460" i="171" s="1"/>
  <c r="K458" i="171"/>
  <c r="E458" i="171" s="1"/>
  <c r="K456" i="171"/>
  <c r="E456" i="171" s="1"/>
  <c r="K454" i="171"/>
  <c r="E454" i="171" s="1"/>
  <c r="K452" i="171"/>
  <c r="E452" i="171" s="1"/>
  <c r="K503" i="171"/>
  <c r="K501" i="171"/>
  <c r="K504" i="171"/>
  <c r="K499" i="171"/>
  <c r="K505" i="171"/>
  <c r="K520" i="171"/>
  <c r="K522" i="171"/>
  <c r="K516" i="171"/>
  <c r="E516" i="171" s="1"/>
  <c r="K518" i="171"/>
  <c r="K521" i="171"/>
  <c r="K523" i="171"/>
  <c r="K517" i="171"/>
  <c r="K477" i="171"/>
  <c r="E477" i="171" s="1"/>
  <c r="K475" i="171"/>
  <c r="E475" i="171" s="1"/>
  <c r="K473" i="171"/>
  <c r="E473" i="171" s="1"/>
  <c r="K471" i="171"/>
  <c r="E471" i="171" s="1"/>
  <c r="K519" i="171"/>
  <c r="K478" i="171"/>
  <c r="E478" i="171" s="1"/>
  <c r="K476" i="171"/>
  <c r="E476" i="171" s="1"/>
  <c r="K474" i="171"/>
  <c r="E474" i="171" s="1"/>
  <c r="K472" i="171"/>
  <c r="E472" i="171" s="1"/>
  <c r="K470" i="171"/>
  <c r="E470" i="171" s="1"/>
  <c r="K515" i="171"/>
  <c r="AD655" i="171"/>
  <c r="AD651" i="171"/>
  <c r="AD654" i="171"/>
  <c r="AD650" i="171"/>
  <c r="AD657" i="171"/>
  <c r="AD609" i="171"/>
  <c r="AD652" i="171"/>
  <c r="AD649" i="171"/>
  <c r="AD605" i="171"/>
  <c r="AD612" i="171"/>
  <c r="AD608" i="171"/>
  <c r="AD611" i="171"/>
  <c r="AD607" i="171"/>
  <c r="AD653" i="171"/>
  <c r="AD604" i="171"/>
  <c r="AD396" i="171"/>
  <c r="AD606" i="171"/>
  <c r="AD610" i="171"/>
  <c r="AD656" i="171"/>
  <c r="AD397" i="171"/>
  <c r="AD395" i="171"/>
  <c r="AD389" i="171"/>
  <c r="AD393" i="171"/>
  <c r="AD392" i="171"/>
  <c r="AD391" i="171"/>
  <c r="AD394" i="171"/>
  <c r="AD169" i="171"/>
  <c r="AD165" i="171"/>
  <c r="AD390" i="171"/>
  <c r="AD172" i="171"/>
  <c r="AD168" i="171"/>
  <c r="AD164" i="171"/>
  <c r="AD171" i="171"/>
  <c r="AD167" i="171"/>
  <c r="AD170" i="171"/>
  <c r="AD35" i="171"/>
  <c r="AD37" i="171"/>
  <c r="AD29" i="171"/>
  <c r="AD34" i="171"/>
  <c r="AD31" i="171"/>
  <c r="AD33" i="171"/>
  <c r="AD32" i="171"/>
  <c r="AD36" i="171"/>
  <c r="AD30" i="171"/>
  <c r="AD166" i="171"/>
  <c r="O12" i="169"/>
  <c r="K46" i="164"/>
  <c r="K43" i="164" s="1"/>
  <c r="I43" i="164"/>
  <c r="J46" i="164"/>
  <c r="J43" i="164" s="1"/>
  <c r="O35" i="157"/>
  <c r="R94" i="150"/>
  <c r="R93" i="150"/>
  <c r="H9" i="144"/>
  <c r="M35" i="137"/>
  <c r="O36" i="137"/>
  <c r="N36" i="137"/>
  <c r="N35" i="137" s="1"/>
  <c r="R3" i="139"/>
  <c r="V5" i="139" s="1"/>
  <c r="J57" i="142"/>
  <c r="J56" i="142" s="1"/>
  <c r="I56" i="142"/>
  <c r="K57" i="142"/>
  <c r="K56" i="142" s="1"/>
  <c r="I51" i="134"/>
  <c r="N12" i="132"/>
  <c r="C70" i="132" s="1"/>
  <c r="R93" i="130"/>
  <c r="R94" i="130" s="1"/>
  <c r="I51" i="123"/>
  <c r="J56" i="101"/>
  <c r="R24" i="119"/>
  <c r="R25" i="119"/>
  <c r="K9" i="114"/>
  <c r="K13" i="103"/>
  <c r="K9" i="103" s="1"/>
  <c r="L15" i="103"/>
  <c r="L13" i="103" s="1"/>
  <c r="L9" i="103" s="1"/>
  <c r="J9" i="103"/>
  <c r="K12" i="110"/>
  <c r="K9" i="110"/>
  <c r="H9" i="110" s="1"/>
  <c r="K61" i="110"/>
  <c r="J61" i="110"/>
  <c r="J56" i="110" s="1"/>
  <c r="K12" i="90"/>
  <c r="R93" i="78"/>
  <c r="R94" i="78" s="1"/>
  <c r="R3" i="78" s="1"/>
  <c r="V5" i="78" s="1"/>
  <c r="I56" i="111"/>
  <c r="I9" i="111" s="1"/>
  <c r="K57" i="111"/>
  <c r="K56" i="111" s="1"/>
  <c r="J57" i="111"/>
  <c r="J56" i="111" s="1"/>
  <c r="J12" i="91"/>
  <c r="M13" i="91"/>
  <c r="M12" i="91" s="1"/>
  <c r="C69" i="91" s="1"/>
  <c r="R48" i="86"/>
  <c r="R47" i="86"/>
  <c r="R47" i="68"/>
  <c r="R48" i="68" s="1"/>
  <c r="M12" i="106"/>
  <c r="O14" i="106"/>
  <c r="O12" i="106" s="1"/>
  <c r="N14" i="106"/>
  <c r="N12" i="106" s="1"/>
  <c r="L53" i="83"/>
  <c r="L52" i="83" s="1"/>
  <c r="K53" i="83"/>
  <c r="K52" i="83" s="1"/>
  <c r="J52" i="83"/>
  <c r="J9" i="83" s="1"/>
  <c r="R93" i="58"/>
  <c r="R94" i="58" s="1"/>
  <c r="J56" i="69"/>
  <c r="K56" i="60"/>
  <c r="R70" i="58"/>
  <c r="R71" i="58" s="1"/>
  <c r="J13" i="63"/>
  <c r="K15" i="63"/>
  <c r="I43" i="61"/>
  <c r="I10" i="61" s="1"/>
  <c r="J46" i="61"/>
  <c r="J43" i="61" s="1"/>
  <c r="J10" i="61" s="1"/>
  <c r="K46" i="61"/>
  <c r="K43" i="61" s="1"/>
  <c r="C72" i="60"/>
  <c r="K14" i="60"/>
  <c r="J14" i="60"/>
  <c r="M14" i="60" s="1"/>
  <c r="K13" i="52"/>
  <c r="K9" i="52" s="1"/>
  <c r="K13" i="59"/>
  <c r="J13" i="59"/>
  <c r="I12" i="59"/>
  <c r="H13" i="52"/>
  <c r="H13" i="72"/>
  <c r="G9" i="59"/>
  <c r="R47" i="26"/>
  <c r="R48" i="26"/>
  <c r="R3" i="26" s="1"/>
  <c r="V5" i="26" s="1"/>
  <c r="K52" i="53"/>
  <c r="K59" i="38"/>
  <c r="J59" i="38"/>
  <c r="J56" i="38" s="1"/>
  <c r="M12" i="24"/>
  <c r="M9" i="24" s="1"/>
  <c r="O14" i="24"/>
  <c r="O12" i="24" s="1"/>
  <c r="N14" i="24"/>
  <c r="N12" i="24" s="1"/>
  <c r="K13" i="11"/>
  <c r="K9" i="11" s="1"/>
  <c r="L15" i="11"/>
  <c r="L13" i="11" s="1"/>
  <c r="L9" i="11" s="1"/>
  <c r="I9" i="11" s="1"/>
  <c r="K46" i="51"/>
  <c r="K43" i="51" s="1"/>
  <c r="J46" i="51"/>
  <c r="J43" i="51" s="1"/>
  <c r="I43" i="51"/>
  <c r="L52" i="31"/>
  <c r="L51" i="31" s="1"/>
  <c r="I51" i="31" s="1"/>
  <c r="K52" i="31"/>
  <c r="K51" i="31" s="1"/>
  <c r="J51" i="31"/>
  <c r="D24" i="3"/>
  <c r="F24" i="3"/>
  <c r="E24" i="3"/>
  <c r="J24" i="3"/>
  <c r="K24" i="3" s="1"/>
  <c r="M24" i="3" s="1"/>
  <c r="O144" i="2"/>
  <c r="N144" i="2"/>
  <c r="P12" i="9"/>
  <c r="N183" i="3"/>
  <c r="N182" i="3" s="1"/>
  <c r="M182" i="3"/>
  <c r="O183" i="3"/>
  <c r="O182" i="3" s="1"/>
  <c r="O131" i="3"/>
  <c r="O76" i="2"/>
  <c r="N76" i="2"/>
  <c r="N158" i="3"/>
  <c r="O158" i="3"/>
  <c r="K80" i="3"/>
  <c r="L80" i="3" s="1"/>
  <c r="M82" i="3"/>
  <c r="H13" i="12"/>
  <c r="J109" i="2"/>
  <c r="K109" i="2" s="1"/>
  <c r="M109" i="2" s="1"/>
  <c r="F109" i="2"/>
  <c r="E109" i="2"/>
  <c r="D109" i="2"/>
  <c r="H409" i="171"/>
  <c r="H401" i="171"/>
  <c r="H415" i="171"/>
  <c r="H410" i="171"/>
  <c r="H406" i="171"/>
  <c r="H404" i="171"/>
  <c r="H414" i="171"/>
  <c r="H407" i="171"/>
  <c r="H399" i="171"/>
  <c r="H373" i="171"/>
  <c r="H376" i="171"/>
  <c r="H402" i="171"/>
  <c r="H379" i="171"/>
  <c r="H374" i="171"/>
  <c r="H398" i="171"/>
  <c r="H372" i="171"/>
  <c r="H411" i="171"/>
  <c r="H403" i="171"/>
  <c r="H378" i="171"/>
  <c r="H375" i="171"/>
  <c r="H412" i="171"/>
  <c r="H405" i="171"/>
  <c r="H377" i="171"/>
  <c r="H371" i="171"/>
  <c r="H413" i="171"/>
  <c r="H400" i="171"/>
  <c r="H408" i="171"/>
  <c r="R71" i="161"/>
  <c r="R70" i="161"/>
  <c r="M9" i="137"/>
  <c r="I56" i="131"/>
  <c r="I9" i="131" s="1"/>
  <c r="K57" i="131"/>
  <c r="K56" i="131" s="1"/>
  <c r="J57" i="131"/>
  <c r="J56" i="131" s="1"/>
  <c r="R24" i="118"/>
  <c r="R25" i="118"/>
  <c r="R3" i="118" s="1"/>
  <c r="V5" i="118" s="1"/>
  <c r="H9" i="114"/>
  <c r="I13" i="114"/>
  <c r="M13" i="39"/>
  <c r="M12" i="39" s="1"/>
  <c r="C69" i="39" s="1"/>
  <c r="J9" i="39"/>
  <c r="J12" i="39"/>
  <c r="J52" i="32"/>
  <c r="J9" i="32" s="1"/>
  <c r="L53" i="32"/>
  <c r="L52" i="32" s="1"/>
  <c r="K53" i="32"/>
  <c r="K52" i="32" s="1"/>
  <c r="K45" i="38"/>
  <c r="K9" i="38" s="1"/>
  <c r="H9" i="38" s="1"/>
  <c r="J45" i="38"/>
  <c r="J12" i="38" s="1"/>
  <c r="R3" i="17"/>
  <c r="V5" i="17" s="1"/>
  <c r="O110" i="2"/>
  <c r="N110" i="2"/>
  <c r="W633" i="171"/>
  <c r="W630" i="171"/>
  <c r="W626" i="171"/>
  <c r="W622" i="171"/>
  <c r="W639" i="171"/>
  <c r="W629" i="171"/>
  <c r="W625" i="171"/>
  <c r="W632" i="171"/>
  <c r="W627" i="171"/>
  <c r="W591" i="171"/>
  <c r="W583" i="171"/>
  <c r="W594" i="171"/>
  <c r="W586" i="171"/>
  <c r="W578" i="171"/>
  <c r="W631" i="171"/>
  <c r="W589" i="171"/>
  <c r="W581" i="171"/>
  <c r="W592" i="171"/>
  <c r="W584" i="171"/>
  <c r="W638" i="171"/>
  <c r="W590" i="171"/>
  <c r="W582" i="171"/>
  <c r="W636" i="171"/>
  <c r="W409" i="171"/>
  <c r="W401" i="171"/>
  <c r="W637" i="171"/>
  <c r="W624" i="171"/>
  <c r="W623" i="171"/>
  <c r="W588" i="171"/>
  <c r="W587" i="171"/>
  <c r="W580" i="171"/>
  <c r="W579" i="171"/>
  <c r="W415" i="171"/>
  <c r="W593" i="171"/>
  <c r="W585" i="171"/>
  <c r="W577" i="171"/>
  <c r="W634" i="171"/>
  <c r="W635" i="171"/>
  <c r="W628" i="171"/>
  <c r="W413" i="171"/>
  <c r="W408" i="171"/>
  <c r="W406" i="171"/>
  <c r="W402" i="171"/>
  <c r="W412" i="171"/>
  <c r="W399" i="171"/>
  <c r="W378" i="171"/>
  <c r="W405" i="171"/>
  <c r="W373" i="171"/>
  <c r="W400" i="171"/>
  <c r="W376" i="171"/>
  <c r="W407" i="171"/>
  <c r="W374" i="171"/>
  <c r="W333" i="171"/>
  <c r="W331" i="171"/>
  <c r="W329" i="171"/>
  <c r="W327" i="171"/>
  <c r="W325" i="171"/>
  <c r="W323" i="171"/>
  <c r="W321" i="171"/>
  <c r="W319" i="171"/>
  <c r="W317" i="171"/>
  <c r="W410" i="171"/>
  <c r="W398" i="171"/>
  <c r="W372" i="171"/>
  <c r="W288" i="171"/>
  <c r="W280" i="171"/>
  <c r="W272" i="171"/>
  <c r="W240" i="171"/>
  <c r="W232" i="171"/>
  <c r="W332" i="171"/>
  <c r="W324" i="171"/>
  <c r="W289" i="171"/>
  <c r="W281" i="171"/>
  <c r="W273" i="171"/>
  <c r="W241" i="171"/>
  <c r="W233" i="171"/>
  <c r="W379" i="171"/>
  <c r="W282" i="171"/>
  <c r="W274" i="171"/>
  <c r="W242" i="171"/>
  <c r="W234" i="171"/>
  <c r="W377" i="171"/>
  <c r="W330" i="171"/>
  <c r="W322" i="171"/>
  <c r="W283" i="171"/>
  <c r="W275" i="171"/>
  <c r="W243" i="171"/>
  <c r="W235" i="171"/>
  <c r="W227" i="171"/>
  <c r="W328" i="171"/>
  <c r="W320" i="171"/>
  <c r="W285" i="171"/>
  <c r="W277" i="171"/>
  <c r="W237" i="171"/>
  <c r="W229" i="171"/>
  <c r="W286" i="171"/>
  <c r="W278" i="171"/>
  <c r="W334" i="171"/>
  <c r="W318" i="171"/>
  <c r="W371" i="171"/>
  <c r="W244" i="171"/>
  <c r="W236" i="171"/>
  <c r="W228" i="171"/>
  <c r="W403" i="171"/>
  <c r="W375" i="171"/>
  <c r="W284" i="171"/>
  <c r="W276" i="171"/>
  <c r="W239" i="171"/>
  <c r="W231" i="171"/>
  <c r="W414" i="171"/>
  <c r="W411" i="171"/>
  <c r="W287" i="171"/>
  <c r="W238" i="171"/>
  <c r="W190" i="171"/>
  <c r="W187" i="171"/>
  <c r="W326" i="171"/>
  <c r="W196" i="171"/>
  <c r="W193" i="171"/>
  <c r="W153" i="171"/>
  <c r="W186" i="171"/>
  <c r="W183" i="171"/>
  <c r="W199" i="171"/>
  <c r="W192" i="171"/>
  <c r="W189" i="171"/>
  <c r="W152" i="171"/>
  <c r="W148" i="171"/>
  <c r="W144" i="171"/>
  <c r="W198" i="171"/>
  <c r="W195" i="171"/>
  <c r="W182" i="171"/>
  <c r="W197" i="171"/>
  <c r="W184" i="171"/>
  <c r="W191" i="171"/>
  <c r="W62" i="171"/>
  <c r="W54" i="171"/>
  <c r="W404" i="171"/>
  <c r="W137" i="171"/>
  <c r="W57" i="171"/>
  <c r="W49" i="171"/>
  <c r="W230" i="171"/>
  <c r="W149" i="171"/>
  <c r="W139" i="171"/>
  <c r="W138" i="171"/>
  <c r="W60" i="171"/>
  <c r="W52" i="171"/>
  <c r="W16" i="171"/>
  <c r="W8" i="171"/>
  <c r="W279" i="171"/>
  <c r="W194" i="171"/>
  <c r="W188" i="171"/>
  <c r="W145" i="171"/>
  <c r="W63" i="171"/>
  <c r="W55" i="171"/>
  <c r="W47" i="171"/>
  <c r="W13" i="171"/>
  <c r="W5" i="171"/>
  <c r="W151" i="171"/>
  <c r="W150" i="171"/>
  <c r="W140" i="171"/>
  <c r="W58" i="171"/>
  <c r="W50" i="171"/>
  <c r="W154" i="171"/>
  <c r="W147" i="171"/>
  <c r="W146" i="171"/>
  <c r="W141" i="171"/>
  <c r="W6" i="171"/>
  <c r="W143" i="171"/>
  <c r="W106" i="171"/>
  <c r="W102" i="171"/>
  <c r="W98" i="171"/>
  <c r="W94" i="171"/>
  <c r="W64" i="171"/>
  <c r="W61" i="171"/>
  <c r="W12" i="171"/>
  <c r="W59" i="171"/>
  <c r="W56" i="171"/>
  <c r="W19" i="171"/>
  <c r="W18" i="171"/>
  <c r="W4" i="171"/>
  <c r="W109" i="171"/>
  <c r="W105" i="171"/>
  <c r="W101" i="171"/>
  <c r="W97" i="171"/>
  <c r="W93" i="171"/>
  <c r="W53" i="171"/>
  <c r="W48" i="171"/>
  <c r="W11" i="171"/>
  <c r="W10" i="171"/>
  <c r="W51" i="171"/>
  <c r="W17" i="171"/>
  <c r="W3" i="171"/>
  <c r="W2" i="171"/>
  <c r="W185" i="171"/>
  <c r="W108" i="171"/>
  <c r="W104" i="171"/>
  <c r="W100" i="171"/>
  <c r="W96" i="171"/>
  <c r="W92" i="171"/>
  <c r="W9" i="171"/>
  <c r="W142" i="171"/>
  <c r="W15" i="171"/>
  <c r="W107" i="171"/>
  <c r="W103" i="171"/>
  <c r="W99" i="171"/>
  <c r="W95" i="171"/>
  <c r="W14" i="171"/>
  <c r="W7" i="171"/>
  <c r="R47" i="161"/>
  <c r="R48" i="161" s="1"/>
  <c r="R3" i="161" s="1"/>
  <c r="V5" i="161" s="1"/>
  <c r="O26" i="146"/>
  <c r="O12" i="142"/>
  <c r="C71" i="142" s="1"/>
  <c r="N12" i="125"/>
  <c r="N9" i="125" s="1"/>
  <c r="R47" i="128"/>
  <c r="R48" i="128" s="1"/>
  <c r="K43" i="122"/>
  <c r="K10" i="122" s="1"/>
  <c r="H10" i="122" s="1"/>
  <c r="K9" i="115"/>
  <c r="O12" i="101"/>
  <c r="C71" i="101" s="1"/>
  <c r="K13" i="101"/>
  <c r="I9" i="101"/>
  <c r="J13" i="101"/>
  <c r="I12" i="101"/>
  <c r="R48" i="107"/>
  <c r="R47" i="107"/>
  <c r="H9" i="104"/>
  <c r="I13" i="104"/>
  <c r="J12" i="90"/>
  <c r="K56" i="110"/>
  <c r="K56" i="90"/>
  <c r="K9" i="90" s="1"/>
  <c r="H9" i="90" s="1"/>
  <c r="I13" i="92"/>
  <c r="K14" i="92"/>
  <c r="J14" i="92"/>
  <c r="I10" i="92"/>
  <c r="R47" i="87"/>
  <c r="R48" i="87" s="1"/>
  <c r="R3" i="87" s="1"/>
  <c r="V5" i="87" s="1"/>
  <c r="G9" i="111"/>
  <c r="O26" i="105"/>
  <c r="O9" i="105" s="1"/>
  <c r="L9" i="105" s="1"/>
  <c r="I52" i="94"/>
  <c r="P12" i="111"/>
  <c r="C72" i="111" s="1"/>
  <c r="K12" i="91"/>
  <c r="O35" i="96"/>
  <c r="O9" i="96" s="1"/>
  <c r="L9" i="96" s="1"/>
  <c r="P12" i="80"/>
  <c r="H13" i="82"/>
  <c r="K13" i="79"/>
  <c r="J13" i="79"/>
  <c r="I12" i="79"/>
  <c r="I9" i="79"/>
  <c r="I56" i="79"/>
  <c r="K57" i="79"/>
  <c r="K56" i="79" s="1"/>
  <c r="J57" i="79"/>
  <c r="J56" i="79" s="1"/>
  <c r="J43" i="71"/>
  <c r="K10" i="61"/>
  <c r="H10" i="61" s="1"/>
  <c r="K13" i="61"/>
  <c r="J13" i="50"/>
  <c r="K13" i="50"/>
  <c r="I12" i="50"/>
  <c r="I9" i="50"/>
  <c r="R47" i="77"/>
  <c r="R48" i="77" s="1"/>
  <c r="R3" i="77" s="1"/>
  <c r="V5" i="77" s="1"/>
  <c r="N12" i="74"/>
  <c r="R24" i="56"/>
  <c r="R25" i="56" s="1"/>
  <c r="R3" i="56" s="1"/>
  <c r="V5" i="56" s="1"/>
  <c r="K56" i="101"/>
  <c r="M9" i="65"/>
  <c r="I51" i="41"/>
  <c r="R47" i="36"/>
  <c r="R48" i="36" s="1"/>
  <c r="R3" i="36" s="1"/>
  <c r="V5" i="36" s="1"/>
  <c r="K14" i="49"/>
  <c r="J14" i="49"/>
  <c r="R48" i="37"/>
  <c r="R3" i="37" s="1"/>
  <c r="V5" i="37" s="1"/>
  <c r="R47" i="37"/>
  <c r="J12" i="28"/>
  <c r="J9" i="28"/>
  <c r="K14" i="40"/>
  <c r="J14" i="40"/>
  <c r="I10" i="40"/>
  <c r="I13" i="40"/>
  <c r="G9" i="28"/>
  <c r="J12" i="8"/>
  <c r="N36" i="75"/>
  <c r="N35" i="75" s="1"/>
  <c r="M35" i="75"/>
  <c r="O36" i="75"/>
  <c r="K9" i="32"/>
  <c r="K13" i="22"/>
  <c r="L15" i="22"/>
  <c r="L13" i="22" s="1"/>
  <c r="J13" i="53"/>
  <c r="J9" i="53" s="1"/>
  <c r="K15" i="53"/>
  <c r="K15" i="31"/>
  <c r="J13" i="31"/>
  <c r="J9" i="31" s="1"/>
  <c r="K56" i="29"/>
  <c r="I25" i="3"/>
  <c r="F22" i="3"/>
  <c r="E22" i="3"/>
  <c r="O49" i="3"/>
  <c r="N49" i="3"/>
  <c r="J13" i="22"/>
  <c r="N56" i="2"/>
  <c r="O56" i="2"/>
  <c r="K22" i="3"/>
  <c r="M22" i="3" s="1"/>
  <c r="N126" i="3"/>
  <c r="O126" i="3"/>
  <c r="J167" i="2"/>
  <c r="K167" i="2" s="1"/>
  <c r="J168" i="2"/>
  <c r="K168" i="2" s="1"/>
  <c r="M168" i="2" s="1"/>
  <c r="O41" i="2"/>
  <c r="N41" i="2"/>
  <c r="O159" i="2"/>
  <c r="N159" i="2"/>
  <c r="K57" i="9"/>
  <c r="K56" i="9" s="1"/>
  <c r="J57" i="9"/>
  <c r="J56" i="9" s="1"/>
  <c r="J9" i="9" s="1"/>
  <c r="I56" i="9"/>
  <c r="I9" i="9" s="1"/>
  <c r="R48" i="4"/>
  <c r="R47" i="4"/>
  <c r="O108" i="2"/>
  <c r="N108" i="2"/>
  <c r="G165" i="2"/>
  <c r="H385" i="171"/>
  <c r="H386" i="171"/>
  <c r="H380" i="171"/>
  <c r="H382" i="171"/>
  <c r="H388" i="171"/>
  <c r="H384" i="171"/>
  <c r="H387" i="171"/>
  <c r="H383" i="171"/>
  <c r="H381" i="171"/>
  <c r="K46" i="153"/>
  <c r="K43" i="153" s="1"/>
  <c r="J46" i="153"/>
  <c r="I43" i="153"/>
  <c r="R71" i="150"/>
  <c r="R70" i="150"/>
  <c r="K12" i="132"/>
  <c r="R3" i="127"/>
  <c r="V5" i="127" s="1"/>
  <c r="R93" i="77"/>
  <c r="R94" i="77"/>
  <c r="K13" i="83"/>
  <c r="K9" i="83" s="1"/>
  <c r="L15" i="83"/>
  <c r="L13" i="83" s="1"/>
  <c r="L9" i="83" s="1"/>
  <c r="J14" i="71"/>
  <c r="I13" i="71"/>
  <c r="K14" i="71"/>
  <c r="L53" i="42"/>
  <c r="L52" i="42" s="1"/>
  <c r="L9" i="42" s="1"/>
  <c r="K53" i="42"/>
  <c r="K52" i="42" s="1"/>
  <c r="J52" i="42"/>
  <c r="J9" i="42" s="1"/>
  <c r="R24" i="68"/>
  <c r="R25" i="68" s="1"/>
  <c r="R3" i="68" s="1"/>
  <c r="V5" i="68" s="1"/>
  <c r="J13" i="41"/>
  <c r="K15" i="41"/>
  <c r="N116" i="2"/>
  <c r="O116" i="2"/>
  <c r="M114" i="2"/>
  <c r="K13" i="141"/>
  <c r="J13" i="141"/>
  <c r="I9" i="141"/>
  <c r="I12" i="141"/>
  <c r="M26" i="115"/>
  <c r="O27" i="115"/>
  <c r="N27" i="115"/>
  <c r="N26" i="115" s="1"/>
  <c r="N9" i="115" s="1"/>
  <c r="R70" i="119"/>
  <c r="R71" i="119" s="1"/>
  <c r="W651" i="171"/>
  <c r="W611" i="171"/>
  <c r="W654" i="171"/>
  <c r="W606" i="171"/>
  <c r="W610" i="171"/>
  <c r="W655" i="171"/>
  <c r="W652" i="171"/>
  <c r="W649" i="171"/>
  <c r="W612" i="171"/>
  <c r="W608" i="171"/>
  <c r="W605" i="171"/>
  <c r="W607" i="171"/>
  <c r="W604" i="171"/>
  <c r="W657" i="171"/>
  <c r="W393" i="171"/>
  <c r="W653" i="171"/>
  <c r="W650" i="171"/>
  <c r="W609" i="171"/>
  <c r="W656" i="171"/>
  <c r="W396" i="171"/>
  <c r="W390" i="171"/>
  <c r="W301" i="171"/>
  <c r="W397" i="171"/>
  <c r="W302" i="171"/>
  <c r="W369" i="171"/>
  <c r="W367" i="171"/>
  <c r="W365" i="171"/>
  <c r="W363" i="171"/>
  <c r="W351" i="171"/>
  <c r="W349" i="171"/>
  <c r="W347" i="171"/>
  <c r="W345" i="171"/>
  <c r="W395" i="171"/>
  <c r="W306" i="171"/>
  <c r="W368" i="171"/>
  <c r="W352" i="171"/>
  <c r="W344" i="171"/>
  <c r="W304" i="171"/>
  <c r="W300" i="171"/>
  <c r="W256" i="171"/>
  <c r="W394" i="171"/>
  <c r="W257" i="171"/>
  <c r="W366" i="171"/>
  <c r="W350" i="171"/>
  <c r="W258" i="171"/>
  <c r="W226" i="171"/>
  <c r="W224" i="171"/>
  <c r="W222" i="171"/>
  <c r="W220" i="171"/>
  <c r="W216" i="171"/>
  <c r="W214" i="171"/>
  <c r="W259" i="171"/>
  <c r="W392" i="171"/>
  <c r="W389" i="171"/>
  <c r="W305" i="171"/>
  <c r="W299" i="171"/>
  <c r="W261" i="171"/>
  <c r="W370" i="171"/>
  <c r="W262" i="171"/>
  <c r="W254" i="171"/>
  <c r="W221" i="171"/>
  <c r="W303" i="171"/>
  <c r="W223" i="171"/>
  <c r="W211" i="171"/>
  <c r="W346" i="171"/>
  <c r="W260" i="171"/>
  <c r="W225" i="171"/>
  <c r="W217" i="171"/>
  <c r="W215" i="171"/>
  <c r="W210" i="171"/>
  <c r="W391" i="171"/>
  <c r="W212" i="171"/>
  <c r="W209" i="171"/>
  <c r="W255" i="171"/>
  <c r="W169" i="171"/>
  <c r="W165" i="171"/>
  <c r="W364" i="171"/>
  <c r="W307" i="171"/>
  <c r="W219" i="171"/>
  <c r="W172" i="171"/>
  <c r="W168" i="171"/>
  <c r="W164" i="171"/>
  <c r="W213" i="171"/>
  <c r="W348" i="171"/>
  <c r="W167" i="171"/>
  <c r="W78" i="171"/>
  <c r="W30" i="171"/>
  <c r="W170" i="171"/>
  <c r="W81" i="171"/>
  <c r="W171" i="171"/>
  <c r="W76" i="171"/>
  <c r="W32" i="171"/>
  <c r="W79" i="171"/>
  <c r="W37" i="171"/>
  <c r="W29" i="171"/>
  <c r="W82" i="171"/>
  <c r="W74" i="171"/>
  <c r="W34" i="171"/>
  <c r="W166" i="171"/>
  <c r="W80" i="171"/>
  <c r="W77" i="171"/>
  <c r="W126" i="171"/>
  <c r="W122" i="171"/>
  <c r="W75" i="171"/>
  <c r="W33" i="171"/>
  <c r="W35" i="171"/>
  <c r="W125" i="171"/>
  <c r="W121" i="171"/>
  <c r="W36" i="171"/>
  <c r="W124" i="171"/>
  <c r="W120" i="171"/>
  <c r="W31" i="171"/>
  <c r="W127" i="171"/>
  <c r="W123" i="171"/>
  <c r="W119" i="171"/>
  <c r="O26" i="167"/>
  <c r="M35" i="168"/>
  <c r="N36" i="168"/>
  <c r="N35" i="168" s="1"/>
  <c r="O36" i="168"/>
  <c r="K56" i="163"/>
  <c r="J52" i="155"/>
  <c r="L53" i="155"/>
  <c r="L52" i="155" s="1"/>
  <c r="I52" i="155" s="1"/>
  <c r="K53" i="155"/>
  <c r="K52" i="155" s="1"/>
  <c r="K57" i="151"/>
  <c r="K56" i="151" s="1"/>
  <c r="J57" i="151"/>
  <c r="J56" i="151" s="1"/>
  <c r="I56" i="151"/>
  <c r="I12" i="163"/>
  <c r="J13" i="163"/>
  <c r="K13" i="163"/>
  <c r="I9" i="163"/>
  <c r="H13" i="155"/>
  <c r="R48" i="148"/>
  <c r="R47" i="148"/>
  <c r="P12" i="142"/>
  <c r="C72" i="142" s="1"/>
  <c r="G9" i="132"/>
  <c r="M9" i="125"/>
  <c r="H13" i="135"/>
  <c r="R24" i="128"/>
  <c r="R25" i="128" s="1"/>
  <c r="O35" i="116"/>
  <c r="O9" i="116" s="1"/>
  <c r="L9" i="116" s="1"/>
  <c r="P12" i="132"/>
  <c r="H13" i="124"/>
  <c r="R24" i="107"/>
  <c r="R25" i="107"/>
  <c r="R93" i="99"/>
  <c r="R94" i="99" s="1"/>
  <c r="R47" i="99"/>
  <c r="R48" i="99"/>
  <c r="K9" i="96"/>
  <c r="I56" i="110"/>
  <c r="I9" i="110" s="1"/>
  <c r="N15" i="84"/>
  <c r="O15" i="84"/>
  <c r="O12" i="84" s="1"/>
  <c r="O9" i="84" s="1"/>
  <c r="L9" i="84" s="1"/>
  <c r="G10" i="102"/>
  <c r="K57" i="70"/>
  <c r="K56" i="70" s="1"/>
  <c r="J57" i="70"/>
  <c r="J56" i="70" s="1"/>
  <c r="I56" i="70"/>
  <c r="I9" i="70" s="1"/>
  <c r="R24" i="57"/>
  <c r="R25" i="57"/>
  <c r="G9" i="91"/>
  <c r="R93" i="57"/>
  <c r="R94" i="57" s="1"/>
  <c r="J13" i="82"/>
  <c r="J9" i="82" s="1"/>
  <c r="K15" i="82"/>
  <c r="K14" i="81"/>
  <c r="I13" i="81"/>
  <c r="I10" i="81"/>
  <c r="J14" i="81"/>
  <c r="G9" i="70"/>
  <c r="O12" i="50"/>
  <c r="C71" i="50" s="1"/>
  <c r="G10" i="61"/>
  <c r="K12" i="49"/>
  <c r="H12" i="49" s="1"/>
  <c r="K15" i="81"/>
  <c r="J15" i="81"/>
  <c r="O35" i="65"/>
  <c r="O14" i="44"/>
  <c r="O12" i="44" s="1"/>
  <c r="O9" i="44" s="1"/>
  <c r="L9" i="44" s="1"/>
  <c r="M12" i="44"/>
  <c r="M9" i="44" s="1"/>
  <c r="N14" i="44"/>
  <c r="N12" i="44" s="1"/>
  <c r="N9" i="44" s="1"/>
  <c r="N12" i="65"/>
  <c r="N9" i="65" s="1"/>
  <c r="O36" i="34"/>
  <c r="N36" i="34"/>
  <c r="N35" i="34" s="1"/>
  <c r="M35" i="34"/>
  <c r="N28" i="64"/>
  <c r="N26" i="64" s="1"/>
  <c r="O28" i="64"/>
  <c r="O26" i="64" s="1"/>
  <c r="L9" i="32"/>
  <c r="K12" i="28"/>
  <c r="K9" i="28"/>
  <c r="H9" i="28" s="1"/>
  <c r="K52" i="12"/>
  <c r="R24" i="35"/>
  <c r="R25" i="35"/>
  <c r="R3" i="35" s="1"/>
  <c r="V5" i="35" s="1"/>
  <c r="J56" i="29"/>
  <c r="H13" i="22"/>
  <c r="O23" i="3"/>
  <c r="N23" i="3"/>
  <c r="K12" i="38"/>
  <c r="H12" i="38" s="1"/>
  <c r="H9" i="31"/>
  <c r="J43" i="10"/>
  <c r="K46" i="3"/>
  <c r="L46" i="3" s="1"/>
  <c r="M48" i="3"/>
  <c r="O27" i="23"/>
  <c r="N27" i="23"/>
  <c r="N26" i="23" s="1"/>
  <c r="N9" i="23" s="1"/>
  <c r="M26" i="23"/>
  <c r="M9" i="23" s="1"/>
  <c r="O117" i="3"/>
  <c r="N117" i="3"/>
  <c r="O160" i="2"/>
  <c r="N160" i="2"/>
  <c r="O12" i="9"/>
  <c r="C71" i="9" s="1"/>
  <c r="M13" i="9"/>
  <c r="M12" i="9" s="1"/>
  <c r="C69" i="9" s="1"/>
  <c r="J12" i="9"/>
  <c r="N127" i="3"/>
  <c r="O127" i="3"/>
  <c r="N56" i="3"/>
  <c r="O56" i="3"/>
  <c r="O177" i="3"/>
  <c r="N177" i="3"/>
  <c r="J99" i="2"/>
  <c r="K99" i="2" s="1"/>
  <c r="J100" i="2"/>
  <c r="K100" i="2" s="1"/>
  <c r="M100" i="2" s="1"/>
  <c r="N59" i="2"/>
  <c r="O59" i="2"/>
  <c r="R665" i="171"/>
  <c r="R661" i="171"/>
  <c r="R657" i="171"/>
  <c r="R653" i="171"/>
  <c r="R649" i="171"/>
  <c r="R645" i="171"/>
  <c r="R641" i="171"/>
  <c r="R664" i="171"/>
  <c r="R660" i="171"/>
  <c r="R656" i="171"/>
  <c r="R652" i="171"/>
  <c r="R648" i="171"/>
  <c r="R644" i="171"/>
  <c r="R640" i="171"/>
  <c r="R636" i="171"/>
  <c r="R618" i="171"/>
  <c r="R610" i="171"/>
  <c r="R658" i="171"/>
  <c r="R655" i="171"/>
  <c r="R642" i="171"/>
  <c r="R639" i="171"/>
  <c r="R637" i="171"/>
  <c r="R629" i="171"/>
  <c r="R625" i="171"/>
  <c r="R621" i="171"/>
  <c r="R613" i="171"/>
  <c r="R605" i="171"/>
  <c r="R666" i="171"/>
  <c r="R663" i="171"/>
  <c r="R650" i="171"/>
  <c r="R647" i="171"/>
  <c r="R638" i="171"/>
  <c r="R631" i="171"/>
  <c r="R627" i="171"/>
  <c r="R623" i="171"/>
  <c r="R617" i="171"/>
  <c r="R609" i="171"/>
  <c r="R601" i="171"/>
  <c r="R634" i="171"/>
  <c r="R620" i="171"/>
  <c r="R612" i="171"/>
  <c r="R633" i="171"/>
  <c r="R628" i="171"/>
  <c r="R616" i="171"/>
  <c r="R590" i="171"/>
  <c r="R582" i="171"/>
  <c r="R573" i="171"/>
  <c r="R659" i="171"/>
  <c r="R643" i="171"/>
  <c r="R635" i="171"/>
  <c r="R615" i="171"/>
  <c r="R593" i="171"/>
  <c r="R585" i="171"/>
  <c r="R577" i="171"/>
  <c r="R574" i="171"/>
  <c r="R632" i="171"/>
  <c r="R606" i="171"/>
  <c r="R603" i="171"/>
  <c r="R598" i="171"/>
  <c r="R596" i="171"/>
  <c r="R588" i="171"/>
  <c r="R580" i="171"/>
  <c r="R575" i="171"/>
  <c r="R646" i="171"/>
  <c r="R622" i="171"/>
  <c r="R614" i="171"/>
  <c r="R608" i="171"/>
  <c r="R600" i="171"/>
  <c r="R591" i="171"/>
  <c r="R583" i="171"/>
  <c r="R576" i="171"/>
  <c r="R662" i="171"/>
  <c r="R626" i="171"/>
  <c r="R597" i="171"/>
  <c r="R589" i="171"/>
  <c r="R581" i="171"/>
  <c r="R602" i="171"/>
  <c r="R408" i="171"/>
  <c r="R400" i="171"/>
  <c r="R392" i="171"/>
  <c r="R604" i="171"/>
  <c r="R414" i="171"/>
  <c r="R630" i="171"/>
  <c r="R619" i="171"/>
  <c r="R654" i="171"/>
  <c r="R651" i="171"/>
  <c r="R624" i="171"/>
  <c r="R607" i="171"/>
  <c r="R592" i="171"/>
  <c r="R584" i="171"/>
  <c r="R595" i="171"/>
  <c r="R594" i="171"/>
  <c r="R587" i="171"/>
  <c r="R586" i="171"/>
  <c r="R579" i="171"/>
  <c r="R578" i="171"/>
  <c r="R611" i="171"/>
  <c r="R599" i="171"/>
  <c r="R405" i="171"/>
  <c r="R384" i="171"/>
  <c r="R413" i="171"/>
  <c r="R406" i="171"/>
  <c r="R402" i="171"/>
  <c r="R396" i="171"/>
  <c r="R385" i="171"/>
  <c r="R415" i="171"/>
  <c r="R398" i="171"/>
  <c r="R381" i="171"/>
  <c r="R372" i="171"/>
  <c r="R312" i="171"/>
  <c r="R304" i="171"/>
  <c r="R409" i="171"/>
  <c r="R401" i="171"/>
  <c r="R394" i="171"/>
  <c r="R388" i="171"/>
  <c r="R375" i="171"/>
  <c r="R313" i="171"/>
  <c r="R305" i="171"/>
  <c r="R393" i="171"/>
  <c r="R390" i="171"/>
  <c r="R387" i="171"/>
  <c r="R380" i="171"/>
  <c r="R373" i="171"/>
  <c r="R399" i="171"/>
  <c r="R371" i="171"/>
  <c r="R309" i="171"/>
  <c r="R301" i="171"/>
  <c r="R389" i="171"/>
  <c r="R370" i="171"/>
  <c r="R369" i="171"/>
  <c r="R362" i="171"/>
  <c r="R361" i="171"/>
  <c r="R354" i="171"/>
  <c r="R353" i="171"/>
  <c r="R346" i="171"/>
  <c r="R345" i="171"/>
  <c r="R340" i="171"/>
  <c r="R298" i="171"/>
  <c r="R291" i="171"/>
  <c r="R283" i="171"/>
  <c r="R275" i="171"/>
  <c r="R267" i="171"/>
  <c r="R259" i="171"/>
  <c r="R251" i="171"/>
  <c r="R243" i="171"/>
  <c r="R235" i="171"/>
  <c r="R227" i="171"/>
  <c r="R339" i="171"/>
  <c r="R334" i="171"/>
  <c r="R333" i="171"/>
  <c r="R326" i="171"/>
  <c r="R325" i="171"/>
  <c r="R318" i="171"/>
  <c r="R317" i="171"/>
  <c r="R315" i="171"/>
  <c r="R311" i="171"/>
  <c r="R307" i="171"/>
  <c r="R303" i="171"/>
  <c r="R292" i="171"/>
  <c r="R284" i="171"/>
  <c r="R276" i="171"/>
  <c r="R268" i="171"/>
  <c r="R260" i="171"/>
  <c r="R252" i="171"/>
  <c r="R244" i="171"/>
  <c r="R236" i="171"/>
  <c r="R228" i="171"/>
  <c r="R225" i="171"/>
  <c r="R223" i="171"/>
  <c r="R221" i="171"/>
  <c r="R219" i="171"/>
  <c r="R217" i="171"/>
  <c r="R215" i="171"/>
  <c r="R213" i="171"/>
  <c r="R211" i="171"/>
  <c r="R209" i="171"/>
  <c r="R207" i="171"/>
  <c r="R205" i="171"/>
  <c r="R407" i="171"/>
  <c r="R368" i="171"/>
  <c r="R367" i="171"/>
  <c r="R360" i="171"/>
  <c r="R359" i="171"/>
  <c r="R352" i="171"/>
  <c r="R351" i="171"/>
  <c r="R344" i="171"/>
  <c r="R299" i="171"/>
  <c r="R293" i="171"/>
  <c r="R285" i="171"/>
  <c r="R277" i="171"/>
  <c r="R269" i="171"/>
  <c r="R261" i="171"/>
  <c r="R253" i="171"/>
  <c r="R245" i="171"/>
  <c r="R237" i="171"/>
  <c r="R229" i="171"/>
  <c r="R383" i="171"/>
  <c r="R343" i="171"/>
  <c r="R338" i="171"/>
  <c r="R332" i="171"/>
  <c r="R331" i="171"/>
  <c r="R324" i="171"/>
  <c r="R323" i="171"/>
  <c r="R294" i="171"/>
  <c r="R286" i="171"/>
  <c r="R278" i="171"/>
  <c r="R270" i="171"/>
  <c r="R262" i="171"/>
  <c r="R254" i="171"/>
  <c r="R246" i="171"/>
  <c r="R238" i="171"/>
  <c r="R230" i="171"/>
  <c r="R386" i="171"/>
  <c r="R379" i="171"/>
  <c r="R374" i="171"/>
  <c r="R342" i="171"/>
  <c r="R330" i="171"/>
  <c r="R329" i="171"/>
  <c r="R322" i="171"/>
  <c r="R321" i="171"/>
  <c r="R316" i="171"/>
  <c r="R314" i="171"/>
  <c r="R310" i="171"/>
  <c r="R308" i="171"/>
  <c r="R306" i="171"/>
  <c r="R302" i="171"/>
  <c r="R300" i="171"/>
  <c r="R296" i="171"/>
  <c r="R288" i="171"/>
  <c r="R280" i="171"/>
  <c r="R272" i="171"/>
  <c r="R264" i="171"/>
  <c r="R256" i="171"/>
  <c r="R248" i="171"/>
  <c r="R240" i="171"/>
  <c r="R232" i="171"/>
  <c r="R226" i="171"/>
  <c r="R224" i="171"/>
  <c r="R222" i="171"/>
  <c r="R220" i="171"/>
  <c r="R218" i="171"/>
  <c r="R216" i="171"/>
  <c r="R214" i="171"/>
  <c r="R365" i="171"/>
  <c r="R364" i="171"/>
  <c r="R349" i="171"/>
  <c r="R348" i="171"/>
  <c r="R328" i="171"/>
  <c r="R239" i="171"/>
  <c r="R231" i="171"/>
  <c r="R411" i="171"/>
  <c r="R366" i="171"/>
  <c r="R350" i="171"/>
  <c r="R206" i="171"/>
  <c r="R391" i="171"/>
  <c r="R377" i="171"/>
  <c r="R337" i="171"/>
  <c r="R336" i="171"/>
  <c r="R335" i="171"/>
  <c r="R319" i="171"/>
  <c r="R297" i="171"/>
  <c r="R287" i="171"/>
  <c r="R279" i="171"/>
  <c r="R271" i="171"/>
  <c r="R263" i="171"/>
  <c r="R255" i="171"/>
  <c r="R249" i="171"/>
  <c r="R242" i="171"/>
  <c r="R234" i="171"/>
  <c r="R212" i="171"/>
  <c r="R412" i="171"/>
  <c r="R397" i="171"/>
  <c r="R378" i="171"/>
  <c r="R355" i="171"/>
  <c r="R203" i="171"/>
  <c r="R201" i="171"/>
  <c r="R199" i="171"/>
  <c r="R197" i="171"/>
  <c r="R195" i="171"/>
  <c r="R193" i="171"/>
  <c r="R191" i="171"/>
  <c r="R189" i="171"/>
  <c r="R187" i="171"/>
  <c r="R185" i="171"/>
  <c r="R183" i="171"/>
  <c r="R357" i="171"/>
  <c r="R356" i="171"/>
  <c r="R320" i="171"/>
  <c r="R290" i="171"/>
  <c r="R282" i="171"/>
  <c r="R274" i="171"/>
  <c r="R266" i="171"/>
  <c r="R258" i="171"/>
  <c r="R241" i="171"/>
  <c r="R233" i="171"/>
  <c r="R208" i="171"/>
  <c r="R404" i="171"/>
  <c r="R382" i="171"/>
  <c r="R376" i="171"/>
  <c r="R363" i="171"/>
  <c r="R347" i="171"/>
  <c r="R295" i="171"/>
  <c r="R250" i="171"/>
  <c r="R247" i="171"/>
  <c r="R210" i="171"/>
  <c r="R204" i="171"/>
  <c r="R202" i="171"/>
  <c r="R200" i="171"/>
  <c r="R341" i="171"/>
  <c r="R188" i="171"/>
  <c r="R136" i="171"/>
  <c r="R135" i="171"/>
  <c r="R134" i="171"/>
  <c r="R281" i="171"/>
  <c r="R194" i="171"/>
  <c r="R181" i="171"/>
  <c r="R174" i="171"/>
  <c r="R170" i="171"/>
  <c r="R166" i="171"/>
  <c r="R162" i="171"/>
  <c r="R158" i="171"/>
  <c r="R154" i="171"/>
  <c r="R184" i="171"/>
  <c r="R180" i="171"/>
  <c r="R403" i="171"/>
  <c r="R358" i="171"/>
  <c r="R289" i="171"/>
  <c r="R257" i="171"/>
  <c r="R190" i="171"/>
  <c r="R179" i="171"/>
  <c r="R173" i="171"/>
  <c r="R169" i="171"/>
  <c r="R165" i="171"/>
  <c r="R161" i="171"/>
  <c r="R157" i="171"/>
  <c r="R153" i="171"/>
  <c r="R149" i="171"/>
  <c r="R145" i="171"/>
  <c r="R410" i="171"/>
  <c r="R327" i="171"/>
  <c r="R196" i="171"/>
  <c r="R178" i="171"/>
  <c r="R273" i="171"/>
  <c r="R198" i="171"/>
  <c r="R182" i="171"/>
  <c r="R176" i="171"/>
  <c r="R163" i="171"/>
  <c r="R159" i="171"/>
  <c r="R155" i="171"/>
  <c r="R148" i="171"/>
  <c r="R143" i="171"/>
  <c r="R131" i="171"/>
  <c r="R85" i="171"/>
  <c r="R77" i="171"/>
  <c r="R69" i="171"/>
  <c r="R61" i="171"/>
  <c r="R53" i="171"/>
  <c r="R44" i="171"/>
  <c r="R36" i="171"/>
  <c r="R28" i="171"/>
  <c r="R265" i="171"/>
  <c r="R164" i="171"/>
  <c r="R160" i="171"/>
  <c r="R156" i="171"/>
  <c r="R144" i="171"/>
  <c r="R88" i="171"/>
  <c r="R80" i="171"/>
  <c r="R72" i="171"/>
  <c r="R64" i="171"/>
  <c r="R56" i="171"/>
  <c r="R48" i="171"/>
  <c r="R192" i="171"/>
  <c r="R186" i="171"/>
  <c r="R177" i="171"/>
  <c r="R167" i="171"/>
  <c r="R137" i="171"/>
  <c r="R91" i="171"/>
  <c r="R83" i="171"/>
  <c r="R75" i="171"/>
  <c r="R67" i="171"/>
  <c r="R59" i="171"/>
  <c r="R51" i="171"/>
  <c r="R46" i="171"/>
  <c r="R38" i="171"/>
  <c r="R30" i="171"/>
  <c r="R22" i="171"/>
  <c r="R14" i="171"/>
  <c r="R6" i="171"/>
  <c r="R168" i="171"/>
  <c r="R138" i="171"/>
  <c r="R132" i="171"/>
  <c r="R86" i="171"/>
  <c r="R78" i="171"/>
  <c r="R70" i="171"/>
  <c r="R62" i="171"/>
  <c r="R54" i="171"/>
  <c r="R43" i="171"/>
  <c r="R35" i="171"/>
  <c r="R27" i="171"/>
  <c r="R19" i="171"/>
  <c r="R11" i="171"/>
  <c r="R3" i="171"/>
  <c r="R171" i="171"/>
  <c r="R139" i="171"/>
  <c r="R129" i="171"/>
  <c r="R128" i="171"/>
  <c r="R127" i="171"/>
  <c r="R126" i="171"/>
  <c r="R125" i="171"/>
  <c r="R124" i="171"/>
  <c r="R123" i="171"/>
  <c r="R122" i="171"/>
  <c r="R121" i="171"/>
  <c r="R120" i="171"/>
  <c r="R119" i="171"/>
  <c r="R118" i="171"/>
  <c r="R117" i="171"/>
  <c r="R116" i="171"/>
  <c r="R115" i="171"/>
  <c r="R114" i="171"/>
  <c r="R113" i="171"/>
  <c r="R112" i="171"/>
  <c r="R111" i="171"/>
  <c r="R110" i="171"/>
  <c r="R109" i="171"/>
  <c r="R108" i="171"/>
  <c r="R107" i="171"/>
  <c r="R106" i="171"/>
  <c r="R105" i="171"/>
  <c r="R104" i="171"/>
  <c r="R103" i="171"/>
  <c r="R102" i="171"/>
  <c r="R101" i="171"/>
  <c r="R100" i="171"/>
  <c r="R99" i="171"/>
  <c r="R98" i="171"/>
  <c r="R97" i="171"/>
  <c r="R96" i="171"/>
  <c r="R95" i="171"/>
  <c r="R94" i="171"/>
  <c r="R93" i="171"/>
  <c r="R92" i="171"/>
  <c r="R89" i="171"/>
  <c r="R81" i="171"/>
  <c r="R73" i="171"/>
  <c r="R65" i="171"/>
  <c r="R57" i="171"/>
  <c r="R49" i="171"/>
  <c r="R40" i="171"/>
  <c r="R32" i="171"/>
  <c r="R172" i="171"/>
  <c r="R150" i="171"/>
  <c r="R140" i="171"/>
  <c r="R130" i="171"/>
  <c r="R175" i="171"/>
  <c r="R152" i="171"/>
  <c r="R87" i="171"/>
  <c r="R68" i="171"/>
  <c r="R41" i="171"/>
  <c r="R31" i="171"/>
  <c r="R21" i="171"/>
  <c r="R15" i="171"/>
  <c r="R90" i="171"/>
  <c r="R84" i="171"/>
  <c r="R42" i="171"/>
  <c r="R13" i="171"/>
  <c r="R7" i="171"/>
  <c r="R147" i="171"/>
  <c r="R133" i="171"/>
  <c r="R79" i="171"/>
  <c r="R76" i="171"/>
  <c r="R66" i="171"/>
  <c r="R33" i="171"/>
  <c r="R20" i="171"/>
  <c r="R5" i="171"/>
  <c r="R395" i="171"/>
  <c r="R141" i="171"/>
  <c r="R82" i="171"/>
  <c r="R63" i="171"/>
  <c r="R60" i="171"/>
  <c r="R45" i="171"/>
  <c r="R34" i="171"/>
  <c r="R12" i="171"/>
  <c r="R151" i="171"/>
  <c r="R74" i="171"/>
  <c r="R58" i="171"/>
  <c r="R25" i="171"/>
  <c r="R18" i="171"/>
  <c r="R4" i="171"/>
  <c r="R55" i="171"/>
  <c r="R52" i="171"/>
  <c r="R37" i="171"/>
  <c r="R26" i="171"/>
  <c r="R24" i="171"/>
  <c r="R10" i="171"/>
  <c r="R146" i="171"/>
  <c r="R71" i="171"/>
  <c r="R50" i="171"/>
  <c r="R47" i="171"/>
  <c r="R29" i="171"/>
  <c r="R23" i="171"/>
  <c r="R17" i="171"/>
  <c r="R16" i="171"/>
  <c r="R2" i="171"/>
  <c r="R142" i="171"/>
  <c r="R39" i="171"/>
  <c r="R9" i="171"/>
  <c r="R8" i="171"/>
  <c r="L316" i="171"/>
  <c r="L308" i="171"/>
  <c r="L300" i="171"/>
  <c r="L309" i="171"/>
  <c r="L301" i="171"/>
  <c r="L313" i="171"/>
  <c r="L305" i="171"/>
  <c r="L314" i="171"/>
  <c r="L312" i="171"/>
  <c r="L310" i="171"/>
  <c r="L306" i="171"/>
  <c r="L304" i="171"/>
  <c r="L302" i="171"/>
  <c r="L295" i="171"/>
  <c r="L287" i="171"/>
  <c r="L279" i="171"/>
  <c r="L271" i="171"/>
  <c r="L263" i="171"/>
  <c r="L255" i="171"/>
  <c r="L247" i="171"/>
  <c r="L239" i="171"/>
  <c r="L231" i="171"/>
  <c r="L296" i="171"/>
  <c r="L288" i="171"/>
  <c r="L280" i="171"/>
  <c r="L272" i="171"/>
  <c r="L264" i="171"/>
  <c r="L256" i="171"/>
  <c r="L248" i="171"/>
  <c r="L240" i="171"/>
  <c r="L232" i="171"/>
  <c r="L297" i="171"/>
  <c r="L289" i="171"/>
  <c r="L281" i="171"/>
  <c r="L273" i="171"/>
  <c r="L265" i="171"/>
  <c r="L257" i="171"/>
  <c r="L249" i="171"/>
  <c r="L241" i="171"/>
  <c r="L233" i="171"/>
  <c r="L298" i="171"/>
  <c r="L290" i="171"/>
  <c r="L282" i="171"/>
  <c r="L274" i="171"/>
  <c r="L266" i="171"/>
  <c r="L258" i="171"/>
  <c r="L250" i="171"/>
  <c r="L242" i="171"/>
  <c r="L234" i="171"/>
  <c r="L315" i="171"/>
  <c r="L311" i="171"/>
  <c r="L307" i="171"/>
  <c r="L303" i="171"/>
  <c r="L292" i="171"/>
  <c r="L284" i="171"/>
  <c r="L276" i="171"/>
  <c r="L268" i="171"/>
  <c r="L260" i="171"/>
  <c r="L252" i="171"/>
  <c r="L244" i="171"/>
  <c r="L236" i="171"/>
  <c r="L228" i="171"/>
  <c r="L299" i="171"/>
  <c r="L285" i="171"/>
  <c r="L277" i="171"/>
  <c r="L269" i="171"/>
  <c r="L261" i="171"/>
  <c r="L253" i="171"/>
  <c r="L243" i="171"/>
  <c r="L235" i="171"/>
  <c r="L227" i="171"/>
  <c r="L291" i="171"/>
  <c r="L294" i="171"/>
  <c r="L283" i="171"/>
  <c r="L275" i="171"/>
  <c r="L267" i="171"/>
  <c r="L259" i="171"/>
  <c r="L246" i="171"/>
  <c r="L286" i="171"/>
  <c r="L278" i="171"/>
  <c r="L270" i="171"/>
  <c r="L262" i="171"/>
  <c r="L254" i="171"/>
  <c r="L245" i="171"/>
  <c r="L230" i="171"/>
  <c r="L229" i="171"/>
  <c r="L293" i="171"/>
  <c r="L251" i="171"/>
  <c r="L133" i="171"/>
  <c r="L130" i="171"/>
  <c r="L129" i="171"/>
  <c r="L128" i="171"/>
  <c r="L127" i="171"/>
  <c r="L126" i="171"/>
  <c r="L125" i="171"/>
  <c r="L124" i="171"/>
  <c r="L123" i="171"/>
  <c r="L122" i="171"/>
  <c r="L121" i="171"/>
  <c r="L120" i="171"/>
  <c r="L119" i="171"/>
  <c r="L118" i="171"/>
  <c r="L117" i="171"/>
  <c r="L116" i="171"/>
  <c r="L115" i="171"/>
  <c r="L114" i="171"/>
  <c r="L113" i="171"/>
  <c r="L112" i="171"/>
  <c r="L111" i="171"/>
  <c r="L110" i="171"/>
  <c r="L109" i="171"/>
  <c r="L108" i="171"/>
  <c r="L107" i="171"/>
  <c r="L106" i="171"/>
  <c r="L105" i="171"/>
  <c r="L104" i="171"/>
  <c r="L103" i="171"/>
  <c r="L102" i="171"/>
  <c r="L101" i="171"/>
  <c r="L100" i="171"/>
  <c r="L99" i="171"/>
  <c r="L98" i="171"/>
  <c r="L97" i="171"/>
  <c r="L96" i="171"/>
  <c r="L95" i="171"/>
  <c r="L94" i="171"/>
  <c r="L93" i="171"/>
  <c r="L92" i="171"/>
  <c r="L135" i="171"/>
  <c r="L131" i="171"/>
  <c r="L238" i="171"/>
  <c r="L237" i="171"/>
  <c r="L134" i="171"/>
  <c r="L136" i="171"/>
  <c r="L132" i="171"/>
  <c r="J12" i="110"/>
  <c r="J9" i="110"/>
  <c r="L53" i="63"/>
  <c r="L52" i="63" s="1"/>
  <c r="I52" i="63" s="1"/>
  <c r="K53" i="63"/>
  <c r="K52" i="63" s="1"/>
  <c r="J52" i="63"/>
  <c r="J58" i="49"/>
  <c r="J56" i="49" s="1"/>
  <c r="K58" i="49"/>
  <c r="K56" i="49" s="1"/>
  <c r="K9" i="49" s="1"/>
  <c r="I56" i="49"/>
  <c r="I9" i="49" s="1"/>
  <c r="R24" i="47"/>
  <c r="R25" i="47"/>
  <c r="J52" i="22"/>
  <c r="L53" i="22"/>
  <c r="L52" i="22" s="1"/>
  <c r="K53" i="22"/>
  <c r="K52" i="22" s="1"/>
  <c r="O36" i="24"/>
  <c r="N36" i="24"/>
  <c r="N35" i="24" s="1"/>
  <c r="M35" i="24"/>
  <c r="R3" i="4"/>
  <c r="V5" i="4" s="1"/>
  <c r="M415" i="171"/>
  <c r="M407" i="171"/>
  <c r="M399" i="171"/>
  <c r="M413" i="171"/>
  <c r="M393" i="171"/>
  <c r="M391" i="171"/>
  <c r="M405" i="171"/>
  <c r="M392" i="171"/>
  <c r="M384" i="171"/>
  <c r="M411" i="171"/>
  <c r="M396" i="171"/>
  <c r="M386" i="171"/>
  <c r="M371" i="171"/>
  <c r="M410" i="171"/>
  <c r="M403" i="171"/>
  <c r="M402" i="171"/>
  <c r="M395" i="171"/>
  <c r="M379" i="171"/>
  <c r="M374" i="171"/>
  <c r="M414" i="171"/>
  <c r="M401" i="171"/>
  <c r="M398" i="171"/>
  <c r="M394" i="171"/>
  <c r="M385" i="171"/>
  <c r="M381" i="171"/>
  <c r="M372" i="171"/>
  <c r="M408" i="171"/>
  <c r="M400" i="171"/>
  <c r="M387" i="171"/>
  <c r="M378" i="171"/>
  <c r="M412" i="171"/>
  <c r="M390" i="171"/>
  <c r="M388" i="171"/>
  <c r="M377" i="171"/>
  <c r="M406" i="171"/>
  <c r="M404" i="171"/>
  <c r="M376" i="171"/>
  <c r="M397" i="171"/>
  <c r="M389" i="171"/>
  <c r="M409" i="171"/>
  <c r="M383" i="171"/>
  <c r="M380" i="171"/>
  <c r="M373" i="171"/>
  <c r="M382" i="171"/>
  <c r="M375" i="171"/>
  <c r="M9" i="168"/>
  <c r="N35" i="169"/>
  <c r="P36" i="169"/>
  <c r="P9" i="169" s="1"/>
  <c r="M9" i="169" s="1"/>
  <c r="O36" i="169"/>
  <c r="O35" i="169" s="1"/>
  <c r="K12" i="162"/>
  <c r="R48" i="150"/>
  <c r="R3" i="150" s="1"/>
  <c r="V5" i="150" s="1"/>
  <c r="R47" i="150"/>
  <c r="O26" i="156"/>
  <c r="R24" i="148"/>
  <c r="R25" i="148" s="1"/>
  <c r="R3" i="148" s="1"/>
  <c r="V5" i="148" s="1"/>
  <c r="R47" i="129"/>
  <c r="R48" i="129" s="1"/>
  <c r="K57" i="132"/>
  <c r="K56" i="132" s="1"/>
  <c r="K9" i="132" s="1"/>
  <c r="H9" i="132" s="1"/>
  <c r="J57" i="132"/>
  <c r="J56" i="132" s="1"/>
  <c r="I56" i="132"/>
  <c r="I9" i="132" s="1"/>
  <c r="K15" i="121"/>
  <c r="J15" i="121"/>
  <c r="M15" i="121" s="1"/>
  <c r="J12" i="120"/>
  <c r="H9" i="123"/>
  <c r="J13" i="124"/>
  <c r="J9" i="124" s="1"/>
  <c r="K15" i="124"/>
  <c r="K12" i="121"/>
  <c r="K12" i="120"/>
  <c r="H12" i="120" s="1"/>
  <c r="I56" i="121"/>
  <c r="I9" i="121" s="1"/>
  <c r="J57" i="121"/>
  <c r="J56" i="121" s="1"/>
  <c r="K57" i="121"/>
  <c r="K56" i="121" s="1"/>
  <c r="K9" i="121" s="1"/>
  <c r="H9" i="121" s="1"/>
  <c r="L9" i="114"/>
  <c r="I9" i="114" s="1"/>
  <c r="N36" i="106"/>
  <c r="N35" i="106" s="1"/>
  <c r="M35" i="106"/>
  <c r="O36" i="106"/>
  <c r="R24" i="99"/>
  <c r="R25" i="99" s="1"/>
  <c r="R3" i="99" s="1"/>
  <c r="V5" i="99" s="1"/>
  <c r="O35" i="106"/>
  <c r="R93" i="98"/>
  <c r="R94" i="98" s="1"/>
  <c r="N35" i="96"/>
  <c r="N9" i="96" s="1"/>
  <c r="R24" i="86"/>
  <c r="R25" i="86"/>
  <c r="R3" i="86" s="1"/>
  <c r="V5" i="86" s="1"/>
  <c r="N26" i="95"/>
  <c r="I13" i="112"/>
  <c r="K14" i="112"/>
  <c r="J14" i="112"/>
  <c r="I10" i="112"/>
  <c r="I56" i="91"/>
  <c r="I9" i="91" s="1"/>
  <c r="J57" i="91"/>
  <c r="J56" i="91" s="1"/>
  <c r="J9" i="91" s="1"/>
  <c r="K57" i="91"/>
  <c r="K56" i="91" s="1"/>
  <c r="K9" i="91" s="1"/>
  <c r="H9" i="91" s="1"/>
  <c r="R93" i="89"/>
  <c r="R94" i="89"/>
  <c r="K15" i="102"/>
  <c r="J15" i="102"/>
  <c r="J13" i="102" s="1"/>
  <c r="I13" i="102"/>
  <c r="K51" i="93"/>
  <c r="P12" i="91"/>
  <c r="C72" i="91" s="1"/>
  <c r="H9" i="113"/>
  <c r="G9" i="60"/>
  <c r="O12" i="115"/>
  <c r="K23" i="69"/>
  <c r="J23" i="69"/>
  <c r="I12" i="49"/>
  <c r="O12" i="74"/>
  <c r="O31" i="74"/>
  <c r="O26" i="74" s="1"/>
  <c r="N31" i="74"/>
  <c r="J13" i="61"/>
  <c r="O12" i="65"/>
  <c r="O9" i="65" s="1"/>
  <c r="L9" i="65" s="1"/>
  <c r="M12" i="54"/>
  <c r="M9" i="54" s="1"/>
  <c r="N14" i="54"/>
  <c r="N12" i="54" s="1"/>
  <c r="O14" i="54"/>
  <c r="O12" i="54" s="1"/>
  <c r="K9" i="64"/>
  <c r="J13" i="62"/>
  <c r="J9" i="62" s="1"/>
  <c r="R48" i="45"/>
  <c r="R47" i="45"/>
  <c r="I13" i="42"/>
  <c r="H9" i="42"/>
  <c r="K43" i="40"/>
  <c r="I13" i="20"/>
  <c r="K14" i="20"/>
  <c r="J14" i="20"/>
  <c r="J13" i="73"/>
  <c r="J9" i="73" s="1"/>
  <c r="K15" i="73"/>
  <c r="M35" i="55"/>
  <c r="M9" i="55" s="1"/>
  <c r="O36" i="55"/>
  <c r="N36" i="55"/>
  <c r="N35" i="55" s="1"/>
  <c r="N9" i="55" s="1"/>
  <c r="I52" i="32"/>
  <c r="L53" i="21"/>
  <c r="K53" i="21"/>
  <c r="K51" i="21" s="1"/>
  <c r="I56" i="18"/>
  <c r="K57" i="18"/>
  <c r="K56" i="18" s="1"/>
  <c r="J57" i="18"/>
  <c r="J56" i="18" s="1"/>
  <c r="K13" i="42"/>
  <c r="K9" i="42" s="1"/>
  <c r="O12" i="29"/>
  <c r="C71" i="29" s="1"/>
  <c r="O35" i="14"/>
  <c r="O158" i="2"/>
  <c r="N158" i="2"/>
  <c r="N39" i="3"/>
  <c r="O39" i="3"/>
  <c r="L26" i="23"/>
  <c r="K9" i="23"/>
  <c r="J49" i="2"/>
  <c r="K49" i="2" s="1"/>
  <c r="M49" i="2" s="1"/>
  <c r="J48" i="2"/>
  <c r="K48" i="2" s="1"/>
  <c r="K47" i="10"/>
  <c r="K43" i="10" s="1"/>
  <c r="J47" i="10"/>
  <c r="N165" i="3"/>
  <c r="K114" i="3"/>
  <c r="L114" i="3" s="1"/>
  <c r="M116" i="3"/>
  <c r="K178" i="2"/>
  <c r="M178" i="2" s="1"/>
  <c r="O42" i="3"/>
  <c r="N42" i="3"/>
  <c r="J43" i="40"/>
  <c r="L51" i="21"/>
  <c r="I51" i="21" s="1"/>
  <c r="K25" i="3"/>
  <c r="M25" i="3" s="1"/>
  <c r="O94" i="2"/>
  <c r="N94" i="2"/>
  <c r="I110" i="2"/>
  <c r="F107" i="2"/>
  <c r="E107" i="2"/>
  <c r="N78" i="2"/>
  <c r="O78" i="2"/>
  <c r="H619" i="171"/>
  <c r="H611" i="171"/>
  <c r="E611" i="171" s="1"/>
  <c r="H614" i="171"/>
  <c r="H606" i="171"/>
  <c r="H598" i="171"/>
  <c r="H618" i="171"/>
  <c r="H610" i="171"/>
  <c r="H602" i="171"/>
  <c r="H621" i="171"/>
  <c r="H613" i="171"/>
  <c r="E613" i="171" s="1"/>
  <c r="H605" i="171"/>
  <c r="H591" i="171"/>
  <c r="H583" i="171"/>
  <c r="H594" i="171"/>
  <c r="H586" i="171"/>
  <c r="H578" i="171"/>
  <c r="H617" i="171"/>
  <c r="H597" i="171"/>
  <c r="H589" i="171"/>
  <c r="H581" i="171"/>
  <c r="H573" i="171"/>
  <c r="H616" i="171"/>
  <c r="H607" i="171"/>
  <c r="H604" i="171"/>
  <c r="H599" i="171"/>
  <c r="H592" i="171"/>
  <c r="E592" i="171" s="1"/>
  <c r="H584" i="171"/>
  <c r="H574" i="171"/>
  <c r="H590" i="171"/>
  <c r="H582" i="171"/>
  <c r="H576" i="171"/>
  <c r="H620" i="171"/>
  <c r="H596" i="171"/>
  <c r="H588" i="171"/>
  <c r="E588" i="171" s="1"/>
  <c r="H580" i="171"/>
  <c r="H609" i="171"/>
  <c r="H608" i="171"/>
  <c r="H595" i="171"/>
  <c r="H593" i="171"/>
  <c r="H587" i="171"/>
  <c r="H585" i="171"/>
  <c r="H579" i="171"/>
  <c r="E579" i="171" s="1"/>
  <c r="H577" i="171"/>
  <c r="H575" i="171"/>
  <c r="H615" i="171"/>
  <c r="H612" i="171"/>
  <c r="H601" i="171"/>
  <c r="H600" i="171"/>
  <c r="H603" i="171"/>
  <c r="H315" i="171"/>
  <c r="H307" i="171"/>
  <c r="H299" i="171"/>
  <c r="H316" i="171"/>
  <c r="H308" i="171"/>
  <c r="H312" i="171"/>
  <c r="H304" i="171"/>
  <c r="H342" i="171"/>
  <c r="H330" i="171"/>
  <c r="E330" i="171" s="1"/>
  <c r="H329" i="171"/>
  <c r="H322" i="171"/>
  <c r="H321" i="171"/>
  <c r="H294" i="171"/>
  <c r="H286" i="171"/>
  <c r="H278" i="171"/>
  <c r="H270" i="171"/>
  <c r="H262" i="171"/>
  <c r="H254" i="171"/>
  <c r="H246" i="171"/>
  <c r="H238" i="171"/>
  <c r="H230" i="171"/>
  <c r="H364" i="171"/>
  <c r="H363" i="171"/>
  <c r="H356" i="171"/>
  <c r="H355" i="171"/>
  <c r="E355" i="171" s="1"/>
  <c r="H348" i="171"/>
  <c r="H347" i="171"/>
  <c r="H341" i="171"/>
  <c r="H336" i="171"/>
  <c r="H314" i="171"/>
  <c r="H310" i="171"/>
  <c r="H306" i="171"/>
  <c r="H302" i="171"/>
  <c r="E302" i="171" s="1"/>
  <c r="H300" i="171"/>
  <c r="H295" i="171"/>
  <c r="H287" i="171"/>
  <c r="H279" i="171"/>
  <c r="H271" i="171"/>
  <c r="H263" i="171"/>
  <c r="H255" i="171"/>
  <c r="H247" i="171"/>
  <c r="E247" i="171" s="1"/>
  <c r="H239" i="171"/>
  <c r="H231" i="171"/>
  <c r="H226" i="171"/>
  <c r="H224" i="171"/>
  <c r="H222" i="171"/>
  <c r="H220" i="171"/>
  <c r="H218" i="171"/>
  <c r="H216" i="171"/>
  <c r="E216" i="171" s="1"/>
  <c r="H214" i="171"/>
  <c r="H212" i="171"/>
  <c r="H210" i="171"/>
  <c r="H208" i="171"/>
  <c r="H206" i="171"/>
  <c r="H335" i="171"/>
  <c r="H328" i="171"/>
  <c r="H327" i="171"/>
  <c r="E327" i="171" s="1"/>
  <c r="H320" i="171"/>
  <c r="H319" i="171"/>
  <c r="H296" i="171"/>
  <c r="H288" i="171"/>
  <c r="H280" i="171"/>
  <c r="H272" i="171"/>
  <c r="H264" i="171"/>
  <c r="H256" i="171"/>
  <c r="E256" i="171" s="1"/>
  <c r="H248" i="171"/>
  <c r="H240" i="171"/>
  <c r="H232" i="171"/>
  <c r="H370" i="171"/>
  <c r="H369" i="171"/>
  <c r="H362" i="171"/>
  <c r="H361" i="171"/>
  <c r="H354" i="171"/>
  <c r="E354" i="171" s="1"/>
  <c r="H353" i="171"/>
  <c r="H346" i="171"/>
  <c r="H345" i="171"/>
  <c r="H340" i="171"/>
  <c r="H309" i="171"/>
  <c r="H301" i="171"/>
  <c r="H297" i="171"/>
  <c r="H289" i="171"/>
  <c r="E289" i="171" s="1"/>
  <c r="H281" i="171"/>
  <c r="H273" i="171"/>
  <c r="H265" i="171"/>
  <c r="H257" i="171"/>
  <c r="H249" i="171"/>
  <c r="H241" i="171"/>
  <c r="H233" i="171"/>
  <c r="H368" i="171"/>
  <c r="H367" i="171"/>
  <c r="H360" i="171"/>
  <c r="H359" i="171"/>
  <c r="H352" i="171"/>
  <c r="H351" i="171"/>
  <c r="H344" i="171"/>
  <c r="H291" i="171"/>
  <c r="H283" i="171"/>
  <c r="E283" i="171" s="1"/>
  <c r="H275" i="171"/>
  <c r="H267" i="171"/>
  <c r="H259" i="171"/>
  <c r="H251" i="171"/>
  <c r="H243" i="171"/>
  <c r="H235" i="171"/>
  <c r="H227" i="171"/>
  <c r="H225" i="171"/>
  <c r="E225" i="171" s="1"/>
  <c r="H223" i="171"/>
  <c r="H221" i="171"/>
  <c r="H219" i="171"/>
  <c r="H217" i="171"/>
  <c r="H215" i="171"/>
  <c r="H358" i="171"/>
  <c r="H325" i="171"/>
  <c r="H303" i="171"/>
  <c r="E303" i="171" s="1"/>
  <c r="H211" i="171"/>
  <c r="H331" i="171"/>
  <c r="H326" i="171"/>
  <c r="H292" i="171"/>
  <c r="H285" i="171"/>
  <c r="H277" i="171"/>
  <c r="H269" i="171"/>
  <c r="H261" i="171"/>
  <c r="E261" i="171" s="1"/>
  <c r="H244" i="171"/>
  <c r="H236" i="171"/>
  <c r="H228" i="171"/>
  <c r="H343" i="171"/>
  <c r="H311" i="171"/>
  <c r="H298" i="171"/>
  <c r="H253" i="171"/>
  <c r="H250" i="171"/>
  <c r="E250" i="171" s="1"/>
  <c r="H207" i="171"/>
  <c r="H365" i="171"/>
  <c r="H349" i="171"/>
  <c r="H332" i="171"/>
  <c r="H284" i="171"/>
  <c r="H276" i="171"/>
  <c r="H268" i="171"/>
  <c r="H260" i="171"/>
  <c r="H213" i="171"/>
  <c r="H204" i="171"/>
  <c r="H202" i="171"/>
  <c r="H200" i="171"/>
  <c r="H198" i="171"/>
  <c r="H196" i="171"/>
  <c r="H194" i="171"/>
  <c r="H192" i="171"/>
  <c r="E192" i="171" s="1"/>
  <c r="H190" i="171"/>
  <c r="H188" i="171"/>
  <c r="H186" i="171"/>
  <c r="H184" i="171"/>
  <c r="H182" i="171"/>
  <c r="H178" i="171"/>
  <c r="H366" i="171"/>
  <c r="H350" i="171"/>
  <c r="E350" i="171" s="1"/>
  <c r="H333" i="171"/>
  <c r="H317" i="171"/>
  <c r="H305" i="171"/>
  <c r="H252" i="171"/>
  <c r="H357" i="171"/>
  <c r="H324" i="171"/>
  <c r="H293" i="171"/>
  <c r="H290" i="171"/>
  <c r="H282" i="171"/>
  <c r="H274" i="171"/>
  <c r="H266" i="171"/>
  <c r="H258" i="171"/>
  <c r="H245" i="171"/>
  <c r="H237" i="171"/>
  <c r="H229" i="171"/>
  <c r="H205" i="171"/>
  <c r="H203" i="171"/>
  <c r="H201" i="171"/>
  <c r="H199" i="171"/>
  <c r="H334" i="171"/>
  <c r="H209" i="171"/>
  <c r="H183" i="171"/>
  <c r="H177" i="171"/>
  <c r="H172" i="171"/>
  <c r="E172" i="171" s="1"/>
  <c r="H168" i="171"/>
  <c r="H164" i="171"/>
  <c r="H160" i="171"/>
  <c r="H156" i="171"/>
  <c r="H152" i="171"/>
  <c r="H148" i="171"/>
  <c r="H144" i="171"/>
  <c r="H140" i="171"/>
  <c r="E140" i="171" s="1"/>
  <c r="H189" i="171"/>
  <c r="H176" i="171"/>
  <c r="H195" i="171"/>
  <c r="H175" i="171"/>
  <c r="H171" i="171"/>
  <c r="H167" i="171"/>
  <c r="H163" i="171"/>
  <c r="H159" i="171"/>
  <c r="H155" i="171"/>
  <c r="H151" i="171"/>
  <c r="H147" i="171"/>
  <c r="H143" i="171"/>
  <c r="H139" i="171"/>
  <c r="H313" i="171"/>
  <c r="H185" i="171"/>
  <c r="H323" i="171"/>
  <c r="H234" i="171"/>
  <c r="H191" i="171"/>
  <c r="H181" i="171"/>
  <c r="H174" i="171"/>
  <c r="H170" i="171"/>
  <c r="H166" i="171"/>
  <c r="H162" i="171"/>
  <c r="H158" i="171"/>
  <c r="E158" i="171" s="1"/>
  <c r="H154" i="171"/>
  <c r="H150" i="171"/>
  <c r="H146" i="171"/>
  <c r="H142" i="171"/>
  <c r="H138" i="171"/>
  <c r="H339" i="171"/>
  <c r="H318" i="171"/>
  <c r="H242" i="171"/>
  <c r="H193" i="171"/>
  <c r="H338" i="171"/>
  <c r="H169" i="171"/>
  <c r="H141" i="171"/>
  <c r="H173" i="171"/>
  <c r="H179" i="171"/>
  <c r="H153" i="171"/>
  <c r="H197" i="171"/>
  <c r="E197" i="171" s="1"/>
  <c r="H180" i="171"/>
  <c r="H161" i="171"/>
  <c r="H157" i="171"/>
  <c r="H149" i="171"/>
  <c r="H137" i="171"/>
  <c r="H145" i="171"/>
  <c r="H187" i="171"/>
  <c r="H165" i="171"/>
  <c r="E165" i="171" s="1"/>
  <c r="H337" i="171"/>
  <c r="K16" i="153"/>
  <c r="J16" i="153"/>
  <c r="J10" i="153" s="1"/>
  <c r="J13" i="155"/>
  <c r="J9" i="155" s="1"/>
  <c r="K15" i="155"/>
  <c r="R71" i="130"/>
  <c r="R70" i="130"/>
  <c r="K13" i="122"/>
  <c r="H13" i="122" s="1"/>
  <c r="K47" i="112"/>
  <c r="K43" i="112" s="1"/>
  <c r="J47" i="112"/>
  <c r="J43" i="112" s="1"/>
  <c r="R93" i="88"/>
  <c r="R94" i="88" s="1"/>
  <c r="R3" i="88" s="1"/>
  <c r="V5" i="88" s="1"/>
  <c r="H12" i="28"/>
  <c r="K56" i="38"/>
  <c r="M35" i="14"/>
  <c r="M9" i="14" s="1"/>
  <c r="O36" i="14"/>
  <c r="N36" i="14"/>
  <c r="N35" i="14" s="1"/>
  <c r="L182" i="3"/>
  <c r="O35" i="147"/>
  <c r="N663" i="171"/>
  <c r="N659" i="171"/>
  <c r="N655" i="171"/>
  <c r="N651" i="171"/>
  <c r="N647" i="171"/>
  <c r="N643" i="171"/>
  <c r="N666" i="171"/>
  <c r="N662" i="171"/>
  <c r="N658" i="171"/>
  <c r="N654" i="171"/>
  <c r="N650" i="171"/>
  <c r="N646" i="171"/>
  <c r="N642" i="171"/>
  <c r="N638" i="171"/>
  <c r="N634" i="171"/>
  <c r="N617" i="171"/>
  <c r="N656" i="171"/>
  <c r="N653" i="171"/>
  <c r="N640" i="171"/>
  <c r="N636" i="171"/>
  <c r="N631" i="171"/>
  <c r="N627" i="171"/>
  <c r="N623" i="171"/>
  <c r="N620" i="171"/>
  <c r="N612" i="171"/>
  <c r="N604" i="171"/>
  <c r="N665" i="171"/>
  <c r="N664" i="171"/>
  <c r="N661" i="171"/>
  <c r="N648" i="171"/>
  <c r="N645" i="171"/>
  <c r="N637" i="171"/>
  <c r="N635" i="171"/>
  <c r="N629" i="171"/>
  <c r="N625" i="171"/>
  <c r="N616" i="171"/>
  <c r="N608" i="171"/>
  <c r="N600" i="171"/>
  <c r="N633" i="171"/>
  <c r="N619" i="171"/>
  <c r="N652" i="171"/>
  <c r="N626" i="171"/>
  <c r="N618" i="171"/>
  <c r="N597" i="171"/>
  <c r="N589" i="171"/>
  <c r="N581" i="171"/>
  <c r="N624" i="171"/>
  <c r="N610" i="171"/>
  <c r="N607" i="171"/>
  <c r="N602" i="171"/>
  <c r="N599" i="171"/>
  <c r="N592" i="171"/>
  <c r="N584" i="171"/>
  <c r="N639" i="171"/>
  <c r="N630" i="171"/>
  <c r="N595" i="171"/>
  <c r="N587" i="171"/>
  <c r="N579" i="171"/>
  <c r="N521" i="171"/>
  <c r="N657" i="171"/>
  <c r="N641" i="171"/>
  <c r="N628" i="171"/>
  <c r="N609" i="171"/>
  <c r="N601" i="171"/>
  <c r="N590" i="171"/>
  <c r="N582" i="171"/>
  <c r="N632" i="171"/>
  <c r="N621" i="171"/>
  <c r="N613" i="171"/>
  <c r="N606" i="171"/>
  <c r="N603" i="171"/>
  <c r="N598" i="171"/>
  <c r="N596" i="171"/>
  <c r="N588" i="171"/>
  <c r="N580" i="171"/>
  <c r="N614" i="171"/>
  <c r="N593" i="171"/>
  <c r="N585" i="171"/>
  <c r="N577" i="171"/>
  <c r="N615" i="171"/>
  <c r="N594" i="171"/>
  <c r="N586" i="171"/>
  <c r="N578" i="171"/>
  <c r="N523" i="171"/>
  <c r="N517" i="171"/>
  <c r="N509" i="171"/>
  <c r="N501" i="171"/>
  <c r="N493" i="171"/>
  <c r="N485" i="171"/>
  <c r="N410" i="171"/>
  <c r="N402" i="171"/>
  <c r="N394" i="171"/>
  <c r="N611" i="171"/>
  <c r="N660" i="171"/>
  <c r="N649" i="171"/>
  <c r="N519" i="171"/>
  <c r="N511" i="171"/>
  <c r="N503" i="171"/>
  <c r="N495" i="171"/>
  <c r="N487" i="171"/>
  <c r="N479" i="171"/>
  <c r="N644" i="171"/>
  <c r="N622" i="171"/>
  <c r="N605" i="171"/>
  <c r="N591" i="171"/>
  <c r="N583" i="171"/>
  <c r="N515" i="171"/>
  <c r="N507" i="171"/>
  <c r="N520" i="171"/>
  <c r="N488" i="171"/>
  <c r="N506" i="171"/>
  <c r="N502" i="171"/>
  <c r="N498" i="171"/>
  <c r="N489" i="171"/>
  <c r="N484" i="171"/>
  <c r="N514" i="171"/>
  <c r="N510" i="171"/>
  <c r="N499" i="171"/>
  <c r="N480" i="171"/>
  <c r="N414" i="171"/>
  <c r="N412" i="171"/>
  <c r="N401" i="171"/>
  <c r="N399" i="171"/>
  <c r="N395" i="171"/>
  <c r="N386" i="171"/>
  <c r="N518" i="171"/>
  <c r="N504" i="171"/>
  <c r="N500" i="171"/>
  <c r="N486" i="171"/>
  <c r="N482" i="171"/>
  <c r="N411" i="171"/>
  <c r="N400" i="171"/>
  <c r="N387" i="171"/>
  <c r="N379" i="171"/>
  <c r="N407" i="171"/>
  <c r="N403" i="171"/>
  <c r="N374" i="171"/>
  <c r="N309" i="171"/>
  <c r="N301" i="171"/>
  <c r="N496" i="171"/>
  <c r="N490" i="171"/>
  <c r="N406" i="171"/>
  <c r="N391" i="171"/>
  <c r="N389" i="171"/>
  <c r="N383" i="171"/>
  <c r="N377" i="171"/>
  <c r="N310" i="171"/>
  <c r="N302" i="171"/>
  <c r="N512" i="171"/>
  <c r="N491" i="171"/>
  <c r="N409" i="171"/>
  <c r="N388" i="171"/>
  <c r="N375" i="171"/>
  <c r="N513" i="171"/>
  <c r="N505" i="171"/>
  <c r="N393" i="171"/>
  <c r="N392" i="171"/>
  <c r="N390" i="171"/>
  <c r="N384" i="171"/>
  <c r="N380" i="171"/>
  <c r="N373" i="171"/>
  <c r="N314" i="171"/>
  <c r="N306" i="171"/>
  <c r="N298" i="171"/>
  <c r="N405" i="171"/>
  <c r="N404" i="171"/>
  <c r="N396" i="171"/>
  <c r="N376" i="171"/>
  <c r="N371" i="171"/>
  <c r="N316" i="171"/>
  <c r="N308" i="171"/>
  <c r="N300" i="171"/>
  <c r="N296" i="171"/>
  <c r="N288" i="171"/>
  <c r="N280" i="171"/>
  <c r="N272" i="171"/>
  <c r="N264" i="171"/>
  <c r="N256" i="171"/>
  <c r="N248" i="171"/>
  <c r="N240" i="171"/>
  <c r="N232" i="171"/>
  <c r="N413" i="171"/>
  <c r="N398" i="171"/>
  <c r="N397" i="171"/>
  <c r="N297" i="171"/>
  <c r="N289" i="171"/>
  <c r="N281" i="171"/>
  <c r="N273" i="171"/>
  <c r="N265" i="171"/>
  <c r="N257" i="171"/>
  <c r="N249" i="171"/>
  <c r="N241" i="171"/>
  <c r="N233" i="171"/>
  <c r="N290" i="171"/>
  <c r="N282" i="171"/>
  <c r="N274" i="171"/>
  <c r="N266" i="171"/>
  <c r="N258" i="171"/>
  <c r="N250" i="171"/>
  <c r="N242" i="171"/>
  <c r="N234" i="171"/>
  <c r="N483" i="171"/>
  <c r="N313" i="171"/>
  <c r="N305" i="171"/>
  <c r="N291" i="171"/>
  <c r="N283" i="171"/>
  <c r="N275" i="171"/>
  <c r="N267" i="171"/>
  <c r="N259" i="171"/>
  <c r="N251" i="171"/>
  <c r="N243" i="171"/>
  <c r="N235" i="171"/>
  <c r="N227" i="171"/>
  <c r="N516" i="171"/>
  <c r="N492" i="171"/>
  <c r="N481" i="171"/>
  <c r="N299" i="171"/>
  <c r="N293" i="171"/>
  <c r="N285" i="171"/>
  <c r="N277" i="171"/>
  <c r="N269" i="171"/>
  <c r="N261" i="171"/>
  <c r="N253" i="171"/>
  <c r="N245" i="171"/>
  <c r="N237" i="171"/>
  <c r="N229" i="171"/>
  <c r="N312" i="171"/>
  <c r="N292" i="171"/>
  <c r="N244" i="171"/>
  <c r="N236" i="171"/>
  <c r="N228" i="171"/>
  <c r="N494" i="171"/>
  <c r="N382" i="171"/>
  <c r="N381" i="171"/>
  <c r="N311" i="171"/>
  <c r="N408" i="171"/>
  <c r="N295" i="171"/>
  <c r="N284" i="171"/>
  <c r="N276" i="171"/>
  <c r="N268" i="171"/>
  <c r="N260" i="171"/>
  <c r="N247" i="171"/>
  <c r="N307" i="171"/>
  <c r="N294" i="171"/>
  <c r="N252" i="171"/>
  <c r="N246" i="171"/>
  <c r="N239" i="171"/>
  <c r="N231" i="171"/>
  <c r="N522" i="171"/>
  <c r="N497" i="171"/>
  <c r="N415" i="171"/>
  <c r="N238" i="171"/>
  <c r="N230" i="171"/>
  <c r="N372" i="171"/>
  <c r="N303" i="171"/>
  <c r="N263" i="171"/>
  <c r="N262" i="171"/>
  <c r="N378" i="171"/>
  <c r="N271" i="171"/>
  <c r="N270" i="171"/>
  <c r="N315" i="171"/>
  <c r="N279" i="171"/>
  <c r="N278" i="171"/>
  <c r="N136" i="171"/>
  <c r="N135" i="171"/>
  <c r="N134" i="171"/>
  <c r="N133" i="171"/>
  <c r="N132" i="171"/>
  <c r="N131" i="171"/>
  <c r="N130" i="171"/>
  <c r="N304" i="171"/>
  <c r="N129" i="171"/>
  <c r="N128" i="171"/>
  <c r="N127" i="171"/>
  <c r="N126" i="171"/>
  <c r="N125" i="171"/>
  <c r="N124" i="171"/>
  <c r="N123" i="171"/>
  <c r="N122" i="171"/>
  <c r="N121" i="171"/>
  <c r="N120" i="171"/>
  <c r="N119" i="171"/>
  <c r="N118" i="171"/>
  <c r="N117" i="171"/>
  <c r="N116" i="171"/>
  <c r="N115" i="171"/>
  <c r="N114" i="171"/>
  <c r="N113" i="171"/>
  <c r="N112" i="171"/>
  <c r="N111" i="171"/>
  <c r="N110" i="171"/>
  <c r="N109" i="171"/>
  <c r="N108" i="171"/>
  <c r="N107" i="171"/>
  <c r="N106" i="171"/>
  <c r="N105" i="171"/>
  <c r="N104" i="171"/>
  <c r="N103" i="171"/>
  <c r="N102" i="171"/>
  <c r="N101" i="171"/>
  <c r="N100" i="171"/>
  <c r="N99" i="171"/>
  <c r="N98" i="171"/>
  <c r="N97" i="171"/>
  <c r="N96" i="171"/>
  <c r="N95" i="171"/>
  <c r="N94" i="171"/>
  <c r="N93" i="171"/>
  <c r="N92" i="171"/>
  <c r="N255" i="171"/>
  <c r="N254" i="171"/>
  <c r="N287" i="171"/>
  <c r="N286" i="171"/>
  <c r="N508" i="171"/>
  <c r="N385" i="171"/>
  <c r="J13" i="154"/>
  <c r="J9" i="154" s="1"/>
  <c r="K15" i="154"/>
  <c r="L52" i="144"/>
  <c r="L51" i="144" s="1"/>
  <c r="K52" i="144"/>
  <c r="K51" i="144" s="1"/>
  <c r="J51" i="144"/>
  <c r="K13" i="153"/>
  <c r="K10" i="153"/>
  <c r="J13" i="152"/>
  <c r="I12" i="152"/>
  <c r="I9" i="152"/>
  <c r="K13" i="152"/>
  <c r="J43" i="153"/>
  <c r="O12" i="152"/>
  <c r="C71" i="152" s="1"/>
  <c r="K9" i="131"/>
  <c r="K12" i="131"/>
  <c r="H12" i="131" s="1"/>
  <c r="N12" i="126"/>
  <c r="R25" i="129"/>
  <c r="R24" i="129"/>
  <c r="O35" i="126"/>
  <c r="G10" i="133"/>
  <c r="K57" i="120"/>
  <c r="K56" i="120" s="1"/>
  <c r="J57" i="120"/>
  <c r="J56" i="120" s="1"/>
  <c r="J9" i="120" s="1"/>
  <c r="I56" i="120"/>
  <c r="I9" i="120" s="1"/>
  <c r="I12" i="121"/>
  <c r="N35" i="126"/>
  <c r="G10" i="122"/>
  <c r="C72" i="101"/>
  <c r="J43" i="102"/>
  <c r="R93" i="109"/>
  <c r="R94" i="109" s="1"/>
  <c r="R3" i="109" s="1"/>
  <c r="V5" i="109" s="1"/>
  <c r="K10" i="102"/>
  <c r="H10" i="102" s="1"/>
  <c r="K13" i="102"/>
  <c r="H9" i="83"/>
  <c r="I13" i="83"/>
  <c r="N12" i="84"/>
  <c r="H9" i="93"/>
  <c r="K9" i="85"/>
  <c r="H13" i="102"/>
  <c r="P12" i="70"/>
  <c r="C72" i="70" s="1"/>
  <c r="L53" i="82"/>
  <c r="L51" i="82" s="1"/>
  <c r="I51" i="82" s="1"/>
  <c r="K53" i="82"/>
  <c r="K51" i="82" s="1"/>
  <c r="N26" i="74"/>
  <c r="J13" i="113"/>
  <c r="J9" i="113" s="1"/>
  <c r="K15" i="113"/>
  <c r="J13" i="60"/>
  <c r="I9" i="60"/>
  <c r="I12" i="60"/>
  <c r="K13" i="60"/>
  <c r="L13" i="72"/>
  <c r="L9" i="72" s="1"/>
  <c r="I9" i="69"/>
  <c r="I52" i="53"/>
  <c r="N12" i="80"/>
  <c r="C70" i="80" s="1"/>
  <c r="J13" i="72"/>
  <c r="J9" i="72" s="1"/>
  <c r="R47" i="58"/>
  <c r="R48" i="58" s="1"/>
  <c r="G10" i="51"/>
  <c r="R93" i="48"/>
  <c r="R94" i="48" s="1"/>
  <c r="K9" i="75"/>
  <c r="K47" i="71"/>
  <c r="K43" i="71" s="1"/>
  <c r="J47" i="71"/>
  <c r="I43" i="71"/>
  <c r="I10" i="71" s="1"/>
  <c r="N12" i="60"/>
  <c r="C70" i="60" s="1"/>
  <c r="I52" i="42"/>
  <c r="M26" i="74"/>
  <c r="M9" i="74" s="1"/>
  <c r="O16" i="64"/>
  <c r="N16" i="64"/>
  <c r="R93" i="26"/>
  <c r="R94" i="26" s="1"/>
  <c r="R47" i="27"/>
  <c r="R48" i="27" s="1"/>
  <c r="R3" i="27" s="1"/>
  <c r="V5" i="27" s="1"/>
  <c r="R24" i="45"/>
  <c r="R25" i="45" s="1"/>
  <c r="R3" i="45" s="1"/>
  <c r="V5" i="45" s="1"/>
  <c r="K12" i="8"/>
  <c r="H12" i="8" s="1"/>
  <c r="M26" i="54"/>
  <c r="O27" i="54"/>
  <c r="N27" i="54"/>
  <c r="N26" i="54" s="1"/>
  <c r="N12" i="43"/>
  <c r="O27" i="33"/>
  <c r="N27" i="33"/>
  <c r="N26" i="33" s="1"/>
  <c r="M26" i="33"/>
  <c r="M9" i="33" s="1"/>
  <c r="K9" i="43"/>
  <c r="H9" i="73"/>
  <c r="I13" i="73"/>
  <c r="I13" i="32"/>
  <c r="H9" i="32"/>
  <c r="I12" i="18"/>
  <c r="K13" i="18"/>
  <c r="J13" i="18"/>
  <c r="I9" i="18"/>
  <c r="L52" i="52"/>
  <c r="L51" i="52" s="1"/>
  <c r="I51" i="52" s="1"/>
  <c r="K52" i="52"/>
  <c r="K51" i="52" s="1"/>
  <c r="J51" i="52"/>
  <c r="K9" i="14"/>
  <c r="O128" i="2"/>
  <c r="N128" i="2"/>
  <c r="O9" i="23"/>
  <c r="L9" i="23" s="1"/>
  <c r="N12" i="19"/>
  <c r="C70" i="19" s="1"/>
  <c r="O26" i="13"/>
  <c r="R3" i="6"/>
  <c r="V5" i="6" s="1"/>
  <c r="I56" i="8"/>
  <c r="I9" i="8" s="1"/>
  <c r="K57" i="8"/>
  <c r="K56" i="8" s="1"/>
  <c r="K9" i="8" s="1"/>
  <c r="H9" i="8" s="1"/>
  <c r="J57" i="8"/>
  <c r="J56" i="8" s="1"/>
  <c r="J9" i="8" s="1"/>
  <c r="G12" i="3"/>
  <c r="N42" i="2"/>
  <c r="O42" i="2"/>
  <c r="K15" i="21"/>
  <c r="J13" i="21"/>
  <c r="J9" i="21" s="1"/>
  <c r="H13" i="41"/>
  <c r="O165" i="3"/>
  <c r="O179" i="2"/>
  <c r="N179" i="2"/>
  <c r="G10" i="10"/>
  <c r="F41" i="3"/>
  <c r="E41" i="3"/>
  <c r="J41" i="3"/>
  <c r="K41" i="3" s="1"/>
  <c r="M41" i="3" s="1"/>
  <c r="D41" i="3"/>
  <c r="K12" i="9"/>
  <c r="K9" i="9"/>
  <c r="H9" i="9" s="1"/>
  <c r="M97" i="3"/>
  <c r="O99" i="3"/>
  <c r="O97" i="3" s="1"/>
  <c r="N99" i="3"/>
  <c r="N97" i="3" s="1"/>
  <c r="N26" i="3"/>
  <c r="O26" i="3"/>
  <c r="K131" i="2"/>
  <c r="L131" i="2" s="1"/>
  <c r="M133" i="2"/>
  <c r="O93" i="2"/>
  <c r="N93" i="2"/>
  <c r="O39" i="2"/>
  <c r="N39" i="2"/>
  <c r="M150" i="2"/>
  <c r="K148" i="2"/>
  <c r="L148" i="2" s="1"/>
  <c r="O14" i="146"/>
  <c r="O12" i="146" s="1"/>
  <c r="O9" i="146" s="1"/>
  <c r="L9" i="146" s="1"/>
  <c r="N14" i="146"/>
  <c r="N12" i="146" s="1"/>
  <c r="N9" i="146" s="1"/>
  <c r="M12" i="146"/>
  <c r="M9" i="146" s="1"/>
  <c r="K15" i="145"/>
  <c r="J13" i="145"/>
  <c r="J9" i="145" s="1"/>
  <c r="R93" i="119"/>
  <c r="R94" i="119" s="1"/>
  <c r="N12" i="111"/>
  <c r="C70" i="111" s="1"/>
  <c r="I12" i="100"/>
  <c r="K13" i="100"/>
  <c r="J13" i="100"/>
  <c r="J14" i="51"/>
  <c r="I10" i="51"/>
  <c r="I13" i="51"/>
  <c r="K14" i="51"/>
  <c r="J16" i="59"/>
  <c r="K16" i="59"/>
  <c r="J46" i="30"/>
  <c r="J43" i="30" s="1"/>
  <c r="I43" i="30"/>
  <c r="K46" i="30"/>
  <c r="K43" i="30" s="1"/>
  <c r="H9" i="11"/>
  <c r="I13" i="11"/>
  <c r="J14" i="3"/>
  <c r="K14" i="3" s="1"/>
  <c r="J15" i="3"/>
  <c r="K15" i="3" s="1"/>
  <c r="M15" i="3" s="1"/>
  <c r="E175" i="2"/>
  <c r="I178" i="2"/>
  <c r="F175" i="2"/>
  <c r="M63" i="2"/>
  <c r="O65" i="2"/>
  <c r="O63" i="2" s="1"/>
  <c r="N65" i="2"/>
  <c r="M12" i="157"/>
  <c r="O14" i="157"/>
  <c r="O12" i="157" s="1"/>
  <c r="O9" i="157" s="1"/>
  <c r="N14" i="157"/>
  <c r="N12" i="157" s="1"/>
  <c r="G10" i="153"/>
  <c r="I13" i="145"/>
  <c r="H9" i="145"/>
  <c r="K52" i="166"/>
  <c r="N14" i="156"/>
  <c r="N12" i="156" s="1"/>
  <c r="M12" i="156"/>
  <c r="O14" i="156"/>
  <c r="O12" i="156" s="1"/>
  <c r="I10" i="164"/>
  <c r="I13" i="164"/>
  <c r="K14" i="164"/>
  <c r="J14" i="164"/>
  <c r="O14" i="136"/>
  <c r="O12" i="136" s="1"/>
  <c r="O9" i="136" s="1"/>
  <c r="L9" i="136" s="1"/>
  <c r="N14" i="136"/>
  <c r="N12" i="136" s="1"/>
  <c r="M12" i="136"/>
  <c r="J531" i="171"/>
  <c r="E531" i="171" s="1"/>
  <c r="J529" i="171"/>
  <c r="E529" i="171" s="1"/>
  <c r="J527" i="171"/>
  <c r="E527" i="171" s="1"/>
  <c r="J525" i="171"/>
  <c r="E525" i="171" s="1"/>
  <c r="J532" i="171"/>
  <c r="E532" i="171" s="1"/>
  <c r="J524" i="171"/>
  <c r="E524" i="171" s="1"/>
  <c r="J528" i="171"/>
  <c r="E528" i="171" s="1"/>
  <c r="J530" i="171"/>
  <c r="E530" i="171" s="1"/>
  <c r="J526" i="171"/>
  <c r="E526" i="171" s="1"/>
  <c r="M26" i="156"/>
  <c r="O27" i="156"/>
  <c r="N27" i="156"/>
  <c r="N26" i="156" s="1"/>
  <c r="K51" i="154"/>
  <c r="M35" i="157"/>
  <c r="O36" i="157"/>
  <c r="N36" i="157"/>
  <c r="N35" i="157" s="1"/>
  <c r="J12" i="162"/>
  <c r="H9" i="165"/>
  <c r="R24" i="159"/>
  <c r="R25" i="159" s="1"/>
  <c r="R3" i="159" s="1"/>
  <c r="V5" i="159" s="1"/>
  <c r="J541" i="171"/>
  <c r="E541" i="171" s="1"/>
  <c r="J539" i="171"/>
  <c r="E539" i="171" s="1"/>
  <c r="J537" i="171"/>
  <c r="E537" i="171" s="1"/>
  <c r="J535" i="171"/>
  <c r="E535" i="171" s="1"/>
  <c r="J533" i="171"/>
  <c r="E533" i="171" s="1"/>
  <c r="J540" i="171"/>
  <c r="E540" i="171" s="1"/>
  <c r="J534" i="171"/>
  <c r="E534" i="171" s="1"/>
  <c r="J536" i="171"/>
  <c r="E536" i="171" s="1"/>
  <c r="J538" i="171"/>
  <c r="E538" i="171" s="1"/>
  <c r="AD367" i="171"/>
  <c r="AD265" i="171"/>
  <c r="AD366" i="171"/>
  <c r="AD266" i="171"/>
  <c r="AD226" i="171"/>
  <c r="AD224" i="171"/>
  <c r="AD222" i="171"/>
  <c r="AD220" i="171"/>
  <c r="AD218" i="171"/>
  <c r="AD365" i="171"/>
  <c r="AD267" i="171"/>
  <c r="AD364" i="171"/>
  <c r="AD268" i="171"/>
  <c r="AD370" i="171"/>
  <c r="AD362" i="171"/>
  <c r="AD270" i="171"/>
  <c r="AD225" i="171"/>
  <c r="AD223" i="171"/>
  <c r="AD221" i="171"/>
  <c r="AD219" i="171"/>
  <c r="AD269" i="171"/>
  <c r="AD264" i="171"/>
  <c r="AD368" i="171"/>
  <c r="AD363" i="171"/>
  <c r="AD263" i="171"/>
  <c r="AD136" i="171"/>
  <c r="AD135" i="171"/>
  <c r="AD134" i="171"/>
  <c r="AD133" i="171"/>
  <c r="AD132" i="171"/>
  <c r="AD131" i="171"/>
  <c r="AD130" i="171"/>
  <c r="AD271" i="171"/>
  <c r="AD369" i="171"/>
  <c r="AD89" i="171"/>
  <c r="AD84" i="171"/>
  <c r="AD87" i="171"/>
  <c r="AD90" i="171"/>
  <c r="AD85" i="171"/>
  <c r="AD129" i="171"/>
  <c r="AD128" i="171"/>
  <c r="AD88" i="171"/>
  <c r="AD91" i="171"/>
  <c r="AD86" i="171"/>
  <c r="AD83" i="171"/>
  <c r="M26" i="167"/>
  <c r="M9" i="167" s="1"/>
  <c r="N27" i="167"/>
  <c r="N26" i="167" s="1"/>
  <c r="N9" i="167" s="1"/>
  <c r="O27" i="167"/>
  <c r="H13" i="166"/>
  <c r="R47" i="160"/>
  <c r="R48" i="160" s="1"/>
  <c r="R3" i="160" s="1"/>
  <c r="V5" i="160" s="1"/>
  <c r="H13" i="154"/>
  <c r="R24" i="149"/>
  <c r="R25" i="149" s="1"/>
  <c r="R3" i="149" s="1"/>
  <c r="V5" i="149" s="1"/>
  <c r="K9" i="147"/>
  <c r="I51" i="144"/>
  <c r="I13" i="153"/>
  <c r="H13" i="153" s="1"/>
  <c r="K56" i="152"/>
  <c r="K16" i="143"/>
  <c r="J16" i="143"/>
  <c r="J13" i="143" s="1"/>
  <c r="G9" i="142"/>
  <c r="J21" i="143"/>
  <c r="K21" i="143"/>
  <c r="O12" i="126"/>
  <c r="J9" i="131"/>
  <c r="J12" i="131"/>
  <c r="K9" i="137"/>
  <c r="K15" i="135"/>
  <c r="J13" i="135"/>
  <c r="J9" i="135" s="1"/>
  <c r="L52" i="124"/>
  <c r="I52" i="124" s="1"/>
  <c r="J14" i="133"/>
  <c r="I10" i="133"/>
  <c r="K14" i="133"/>
  <c r="I13" i="133"/>
  <c r="J47" i="143"/>
  <c r="J43" i="143" s="1"/>
  <c r="K47" i="143"/>
  <c r="K43" i="143" s="1"/>
  <c r="P12" i="121"/>
  <c r="C72" i="121" s="1"/>
  <c r="K15" i="134"/>
  <c r="J13" i="134"/>
  <c r="J9" i="134" s="1"/>
  <c r="M9" i="115"/>
  <c r="O26" i="115"/>
  <c r="J12" i="121"/>
  <c r="J9" i="121"/>
  <c r="M13" i="121"/>
  <c r="M12" i="121" s="1"/>
  <c r="C69" i="121" s="1"/>
  <c r="H12" i="110"/>
  <c r="O35" i="137"/>
  <c r="N12" i="121"/>
  <c r="C70" i="121" s="1"/>
  <c r="K9" i="120"/>
  <c r="H9" i="120" s="1"/>
  <c r="R71" i="108"/>
  <c r="R70" i="108"/>
  <c r="R24" i="98"/>
  <c r="R25" i="98" s="1"/>
  <c r="R3" i="98" s="1"/>
  <c r="V5" i="98" s="1"/>
  <c r="N14" i="95"/>
  <c r="N12" i="95" s="1"/>
  <c r="N9" i="95" s="1"/>
  <c r="O14" i="95"/>
  <c r="O12" i="95" s="1"/>
  <c r="O9" i="95" s="1"/>
  <c r="L9" i="95" s="1"/>
  <c r="M12" i="95"/>
  <c r="M9" i="95" s="1"/>
  <c r="H12" i="90"/>
  <c r="H13" i="103"/>
  <c r="G10" i="112"/>
  <c r="K13" i="93"/>
  <c r="K9" i="93" s="1"/>
  <c r="L15" i="93"/>
  <c r="L13" i="93" s="1"/>
  <c r="L51" i="93"/>
  <c r="I51" i="93" s="1"/>
  <c r="N26" i="84"/>
  <c r="K58" i="90"/>
  <c r="J58" i="90"/>
  <c r="J56" i="90" s="1"/>
  <c r="J9" i="90" s="1"/>
  <c r="I56" i="100"/>
  <c r="I9" i="100" s="1"/>
  <c r="K57" i="100"/>
  <c r="K56" i="100" s="1"/>
  <c r="J57" i="100"/>
  <c r="J56" i="100" s="1"/>
  <c r="K13" i="72"/>
  <c r="K9" i="72" s="1"/>
  <c r="K13" i="70"/>
  <c r="J13" i="70"/>
  <c r="I12" i="70"/>
  <c r="J9" i="69"/>
  <c r="J12" i="69"/>
  <c r="H13" i="62"/>
  <c r="I12" i="80"/>
  <c r="K13" i="80"/>
  <c r="J13" i="80"/>
  <c r="R47" i="46"/>
  <c r="R48" i="46" s="1"/>
  <c r="R3" i="46" s="1"/>
  <c r="V5" i="46" s="1"/>
  <c r="N14" i="75"/>
  <c r="N12" i="75" s="1"/>
  <c r="N9" i="75" s="1"/>
  <c r="M12" i="75"/>
  <c r="M9" i="75" s="1"/>
  <c r="O14" i="75"/>
  <c r="O12" i="75" s="1"/>
  <c r="O9" i="75" s="1"/>
  <c r="L9" i="75" s="1"/>
  <c r="O12" i="60"/>
  <c r="C71" i="60" s="1"/>
  <c r="R24" i="58"/>
  <c r="R25" i="58" s="1"/>
  <c r="L13" i="62"/>
  <c r="N12" i="70"/>
  <c r="C70" i="70" s="1"/>
  <c r="R93" i="47"/>
  <c r="R94" i="47" s="1"/>
  <c r="G9" i="29"/>
  <c r="G10" i="71"/>
  <c r="N12" i="33"/>
  <c r="N9" i="33" s="1"/>
  <c r="R94" i="68"/>
  <c r="R93" i="68"/>
  <c r="O12" i="43"/>
  <c r="K9" i="39"/>
  <c r="H9" i="39" s="1"/>
  <c r="K12" i="39"/>
  <c r="L26" i="33"/>
  <c r="K9" i="33"/>
  <c r="J13" i="52"/>
  <c r="J9" i="52" s="1"/>
  <c r="J16" i="20"/>
  <c r="K16" i="20"/>
  <c r="O127" i="2"/>
  <c r="N127" i="2"/>
  <c r="O151" i="3"/>
  <c r="N151" i="3"/>
  <c r="H56" i="8"/>
  <c r="G9" i="8"/>
  <c r="H13" i="21"/>
  <c r="G9" i="18"/>
  <c r="I56" i="19"/>
  <c r="K57" i="19"/>
  <c r="K56" i="19" s="1"/>
  <c r="J57" i="19"/>
  <c r="J56" i="19" s="1"/>
  <c r="K13" i="19"/>
  <c r="I9" i="19"/>
  <c r="J13" i="19"/>
  <c r="I12" i="19"/>
  <c r="J14" i="10"/>
  <c r="I10" i="10"/>
  <c r="I13" i="10"/>
  <c r="K14" i="10"/>
  <c r="J31" i="3"/>
  <c r="K31" i="3" s="1"/>
  <c r="J32" i="3"/>
  <c r="K32" i="3" s="1"/>
  <c r="M32" i="3" s="1"/>
  <c r="J82" i="2"/>
  <c r="K82" i="2" s="1"/>
  <c r="J83" i="2"/>
  <c r="N92" i="3"/>
  <c r="O92" i="3"/>
  <c r="J92" i="2"/>
  <c r="K92" i="2" s="1"/>
  <c r="M92" i="2" s="1"/>
  <c r="F92" i="2"/>
  <c r="E92" i="2"/>
  <c r="D92" i="2"/>
  <c r="O75" i="2"/>
  <c r="N75" i="2"/>
  <c r="I161" i="2"/>
  <c r="F158" i="2"/>
  <c r="K161" i="2"/>
  <c r="M161" i="2" s="1"/>
  <c r="E158" i="2"/>
  <c r="O31" i="2"/>
  <c r="O29" i="2" s="1"/>
  <c r="N31" i="2"/>
  <c r="N29" i="2" s="1"/>
  <c r="M29" i="2"/>
  <c r="H12" i="162"/>
  <c r="I56" i="141"/>
  <c r="K57" i="141"/>
  <c r="K56" i="141" s="1"/>
  <c r="J57" i="141"/>
  <c r="J56" i="141" s="1"/>
  <c r="R48" i="56"/>
  <c r="R47" i="56"/>
  <c r="K56" i="69"/>
  <c r="K9" i="69" s="1"/>
  <c r="H9" i="69" s="1"/>
  <c r="K57" i="59"/>
  <c r="K56" i="59" s="1"/>
  <c r="J57" i="59"/>
  <c r="J56" i="59" s="1"/>
  <c r="I56" i="59"/>
  <c r="I9" i="59" s="1"/>
  <c r="J51" i="41"/>
  <c r="K52" i="41"/>
  <c r="K51" i="41" s="1"/>
  <c r="L52" i="41"/>
  <c r="L51" i="41" s="1"/>
  <c r="I13" i="53"/>
  <c r="H9" i="53"/>
  <c r="P12" i="19"/>
  <c r="C72" i="19" s="1"/>
  <c r="R3" i="7"/>
  <c r="V5" i="7" s="1"/>
  <c r="O58" i="2"/>
  <c r="N58" i="2"/>
  <c r="O180" i="2"/>
  <c r="N180" i="2"/>
  <c r="S658" i="171"/>
  <c r="S655" i="171"/>
  <c r="S652" i="171"/>
  <c r="S642" i="171"/>
  <c r="S639" i="171"/>
  <c r="S637" i="171"/>
  <c r="S629" i="171"/>
  <c r="S625" i="171"/>
  <c r="S621" i="171"/>
  <c r="S613" i="171"/>
  <c r="S661" i="171"/>
  <c r="S645" i="171"/>
  <c r="S635" i="171"/>
  <c r="S633" i="171"/>
  <c r="S616" i="171"/>
  <c r="S608" i="171"/>
  <c r="S600" i="171"/>
  <c r="S653" i="171"/>
  <c r="S636" i="171"/>
  <c r="S634" i="171"/>
  <c r="S620" i="171"/>
  <c r="S612" i="171"/>
  <c r="S604" i="171"/>
  <c r="S662" i="171"/>
  <c r="S659" i="171"/>
  <c r="S656" i="171"/>
  <c r="S646" i="171"/>
  <c r="S643" i="171"/>
  <c r="S640" i="171"/>
  <c r="S632" i="171"/>
  <c r="S628" i="171"/>
  <c r="S624" i="171"/>
  <c r="S615" i="171"/>
  <c r="S665" i="171"/>
  <c r="S664" i="171"/>
  <c r="S663" i="171"/>
  <c r="S657" i="171"/>
  <c r="S641" i="171"/>
  <c r="S623" i="171"/>
  <c r="S609" i="171"/>
  <c r="S601" i="171"/>
  <c r="S593" i="171"/>
  <c r="S585" i="171"/>
  <c r="S577" i="171"/>
  <c r="S574" i="171"/>
  <c r="S660" i="171"/>
  <c r="S644" i="171"/>
  <c r="S606" i="171"/>
  <c r="S603" i="171"/>
  <c r="S598" i="171"/>
  <c r="S596" i="171"/>
  <c r="S588" i="171"/>
  <c r="S580" i="171"/>
  <c r="S575" i="171"/>
  <c r="S666" i="171"/>
  <c r="S627" i="171"/>
  <c r="S622" i="171"/>
  <c r="S614" i="171"/>
  <c r="S591" i="171"/>
  <c r="S583" i="171"/>
  <c r="S576" i="171"/>
  <c r="S619" i="171"/>
  <c r="S611" i="171"/>
  <c r="S594" i="171"/>
  <c r="S586" i="171"/>
  <c r="S578" i="171"/>
  <c r="S651" i="171"/>
  <c r="S650" i="171"/>
  <c r="S648" i="171"/>
  <c r="S647" i="171"/>
  <c r="S618" i="171"/>
  <c r="S607" i="171"/>
  <c r="S602" i="171"/>
  <c r="S599" i="171"/>
  <c r="S592" i="171"/>
  <c r="S584" i="171"/>
  <c r="S649" i="171"/>
  <c r="S626" i="171"/>
  <c r="S617" i="171"/>
  <c r="S573" i="171"/>
  <c r="S411" i="171"/>
  <c r="S403" i="171"/>
  <c r="S395" i="171"/>
  <c r="S605" i="171"/>
  <c r="S631" i="171"/>
  <c r="S630" i="171"/>
  <c r="S654" i="171"/>
  <c r="S597" i="171"/>
  <c r="S590" i="171"/>
  <c r="S589" i="171"/>
  <c r="S582" i="171"/>
  <c r="S581" i="171"/>
  <c r="S595" i="171"/>
  <c r="S587" i="171"/>
  <c r="S579" i="171"/>
  <c r="S638" i="171"/>
  <c r="S610" i="171"/>
  <c r="S392" i="171"/>
  <c r="S387" i="171"/>
  <c r="S415" i="171"/>
  <c r="S410" i="171"/>
  <c r="S404" i="171"/>
  <c r="S388" i="171"/>
  <c r="S380" i="171"/>
  <c r="S409" i="171"/>
  <c r="S401" i="171"/>
  <c r="S394" i="171"/>
  <c r="S385" i="171"/>
  <c r="S375" i="171"/>
  <c r="S313" i="171"/>
  <c r="S305" i="171"/>
  <c r="S414" i="171"/>
  <c r="S378" i="171"/>
  <c r="S370" i="171"/>
  <c r="S368" i="171"/>
  <c r="S366" i="171"/>
  <c r="S364" i="171"/>
  <c r="S362" i="171"/>
  <c r="S360" i="171"/>
  <c r="S358" i="171"/>
  <c r="S356" i="171"/>
  <c r="S354" i="171"/>
  <c r="S352" i="171"/>
  <c r="S350" i="171"/>
  <c r="S348" i="171"/>
  <c r="S346" i="171"/>
  <c r="S344" i="171"/>
  <c r="S342" i="171"/>
  <c r="S340" i="171"/>
  <c r="S338" i="171"/>
  <c r="S336" i="171"/>
  <c r="S334" i="171"/>
  <c r="S332" i="171"/>
  <c r="S330" i="171"/>
  <c r="S328" i="171"/>
  <c r="S326" i="171"/>
  <c r="S324" i="171"/>
  <c r="S322" i="171"/>
  <c r="S320" i="171"/>
  <c r="S318" i="171"/>
  <c r="S314" i="171"/>
  <c r="S306" i="171"/>
  <c r="S412" i="171"/>
  <c r="S400" i="171"/>
  <c r="S397" i="171"/>
  <c r="S384" i="171"/>
  <c r="S382" i="171"/>
  <c r="S376" i="171"/>
  <c r="S316" i="171"/>
  <c r="S407" i="171"/>
  <c r="S396" i="171"/>
  <c r="S386" i="171"/>
  <c r="S374" i="171"/>
  <c r="S369" i="171"/>
  <c r="S367" i="171"/>
  <c r="S365" i="171"/>
  <c r="S363" i="171"/>
  <c r="S361" i="171"/>
  <c r="S359" i="171"/>
  <c r="S357" i="171"/>
  <c r="S355" i="171"/>
  <c r="S353" i="171"/>
  <c r="S351" i="171"/>
  <c r="S349" i="171"/>
  <c r="S347" i="171"/>
  <c r="S345" i="171"/>
  <c r="S343" i="171"/>
  <c r="S341" i="171"/>
  <c r="S339" i="171"/>
  <c r="S337" i="171"/>
  <c r="S335" i="171"/>
  <c r="S333" i="171"/>
  <c r="S331" i="171"/>
  <c r="S329" i="171"/>
  <c r="S327" i="171"/>
  <c r="S325" i="171"/>
  <c r="S323" i="171"/>
  <c r="S321" i="171"/>
  <c r="S319" i="171"/>
  <c r="S317" i="171"/>
  <c r="S310" i="171"/>
  <c r="S302" i="171"/>
  <c r="S393" i="171"/>
  <c r="S315" i="171"/>
  <c r="S311" i="171"/>
  <c r="S309" i="171"/>
  <c r="S307" i="171"/>
  <c r="S303" i="171"/>
  <c r="S301" i="171"/>
  <c r="S292" i="171"/>
  <c r="S284" i="171"/>
  <c r="S276" i="171"/>
  <c r="S268" i="171"/>
  <c r="S260" i="171"/>
  <c r="S252" i="171"/>
  <c r="S244" i="171"/>
  <c r="S236" i="171"/>
  <c r="S228" i="171"/>
  <c r="S225" i="171"/>
  <c r="S223" i="171"/>
  <c r="S221" i="171"/>
  <c r="S219" i="171"/>
  <c r="S217" i="171"/>
  <c r="S299" i="171"/>
  <c r="S293" i="171"/>
  <c r="S285" i="171"/>
  <c r="S277" i="171"/>
  <c r="S269" i="171"/>
  <c r="S261" i="171"/>
  <c r="S253" i="171"/>
  <c r="S245" i="171"/>
  <c r="S237" i="171"/>
  <c r="S229" i="171"/>
  <c r="S408" i="171"/>
  <c r="S383" i="171"/>
  <c r="S294" i="171"/>
  <c r="S286" i="171"/>
  <c r="S278" i="171"/>
  <c r="S270" i="171"/>
  <c r="S262" i="171"/>
  <c r="S254" i="171"/>
  <c r="S246" i="171"/>
  <c r="S238" i="171"/>
  <c r="S230" i="171"/>
  <c r="S295" i="171"/>
  <c r="S287" i="171"/>
  <c r="S279" i="171"/>
  <c r="S271" i="171"/>
  <c r="S263" i="171"/>
  <c r="S255" i="171"/>
  <c r="S247" i="171"/>
  <c r="S239" i="171"/>
  <c r="S231" i="171"/>
  <c r="S377" i="171"/>
  <c r="S372" i="171"/>
  <c r="S297" i="171"/>
  <c r="S289" i="171"/>
  <c r="S281" i="171"/>
  <c r="S273" i="171"/>
  <c r="S265" i="171"/>
  <c r="S257" i="171"/>
  <c r="S249" i="171"/>
  <c r="S241" i="171"/>
  <c r="S233" i="171"/>
  <c r="S399" i="171"/>
  <c r="S390" i="171"/>
  <c r="S308" i="171"/>
  <c r="S291" i="171"/>
  <c r="S206" i="171"/>
  <c r="S405" i="171"/>
  <c r="S391" i="171"/>
  <c r="S283" i="171"/>
  <c r="S275" i="171"/>
  <c r="S267" i="171"/>
  <c r="S259" i="171"/>
  <c r="S242" i="171"/>
  <c r="S234" i="171"/>
  <c r="S220" i="171"/>
  <c r="S212" i="171"/>
  <c r="S209" i="171"/>
  <c r="S402" i="171"/>
  <c r="S406" i="171"/>
  <c r="S304" i="171"/>
  <c r="S290" i="171"/>
  <c r="S282" i="171"/>
  <c r="S274" i="171"/>
  <c r="S266" i="171"/>
  <c r="S258" i="171"/>
  <c r="S251" i="171"/>
  <c r="S222" i="171"/>
  <c r="S208" i="171"/>
  <c r="S205" i="171"/>
  <c r="S180" i="171"/>
  <c r="S176" i="171"/>
  <c r="S371" i="171"/>
  <c r="S296" i="171"/>
  <c r="S248" i="171"/>
  <c r="S211" i="171"/>
  <c r="S381" i="171"/>
  <c r="S373" i="171"/>
  <c r="S298" i="171"/>
  <c r="S288" i="171"/>
  <c r="S280" i="171"/>
  <c r="S272" i="171"/>
  <c r="S264" i="171"/>
  <c r="S256" i="171"/>
  <c r="S243" i="171"/>
  <c r="S235" i="171"/>
  <c r="S227" i="171"/>
  <c r="S226" i="171"/>
  <c r="S218" i="171"/>
  <c r="S213" i="171"/>
  <c r="S398" i="171"/>
  <c r="S389" i="171"/>
  <c r="S194" i="171"/>
  <c r="S191" i="171"/>
  <c r="S181" i="171"/>
  <c r="S174" i="171"/>
  <c r="S170" i="171"/>
  <c r="S166" i="171"/>
  <c r="S162" i="171"/>
  <c r="S158" i="171"/>
  <c r="S154" i="171"/>
  <c r="S150" i="171"/>
  <c r="S146" i="171"/>
  <c r="S142" i="171"/>
  <c r="S138" i="171"/>
  <c r="S312" i="171"/>
  <c r="S232" i="171"/>
  <c r="S215" i="171"/>
  <c r="S204" i="171"/>
  <c r="S203" i="171"/>
  <c r="S197" i="171"/>
  <c r="S184" i="171"/>
  <c r="S300" i="171"/>
  <c r="S202" i="171"/>
  <c r="S190" i="171"/>
  <c r="S187" i="171"/>
  <c r="S179" i="171"/>
  <c r="S173" i="171"/>
  <c r="S169" i="171"/>
  <c r="S165" i="171"/>
  <c r="S161" i="171"/>
  <c r="S157" i="171"/>
  <c r="S153" i="171"/>
  <c r="S149" i="171"/>
  <c r="S145" i="171"/>
  <c r="S141" i="171"/>
  <c r="S137" i="171"/>
  <c r="S379" i="171"/>
  <c r="S216" i="171"/>
  <c r="S207" i="171"/>
  <c r="S201" i="171"/>
  <c r="S196" i="171"/>
  <c r="S193" i="171"/>
  <c r="S178" i="171"/>
  <c r="S240" i="171"/>
  <c r="S200" i="171"/>
  <c r="S186" i="171"/>
  <c r="S183" i="171"/>
  <c r="S177" i="171"/>
  <c r="S172" i="171"/>
  <c r="S168" i="171"/>
  <c r="S164" i="171"/>
  <c r="S160" i="171"/>
  <c r="S156" i="171"/>
  <c r="S152" i="171"/>
  <c r="S148" i="171"/>
  <c r="S144" i="171"/>
  <c r="S140" i="171"/>
  <c r="S413" i="171"/>
  <c r="S224" i="171"/>
  <c r="S214" i="171"/>
  <c r="S210" i="171"/>
  <c r="S188" i="171"/>
  <c r="S185" i="171"/>
  <c r="S88" i="171"/>
  <c r="S80" i="171"/>
  <c r="S72" i="171"/>
  <c r="S64" i="171"/>
  <c r="S56" i="171"/>
  <c r="S48" i="171"/>
  <c r="S41" i="171"/>
  <c r="S33" i="171"/>
  <c r="S25" i="171"/>
  <c r="S250" i="171"/>
  <c r="S192" i="171"/>
  <c r="S167" i="171"/>
  <c r="S91" i="171"/>
  <c r="S83" i="171"/>
  <c r="S75" i="171"/>
  <c r="S67" i="171"/>
  <c r="S59" i="171"/>
  <c r="S51" i="171"/>
  <c r="S46" i="171"/>
  <c r="S182" i="171"/>
  <c r="S134" i="171"/>
  <c r="S132" i="171"/>
  <c r="S86" i="171"/>
  <c r="S78" i="171"/>
  <c r="S70" i="171"/>
  <c r="S62" i="171"/>
  <c r="S54" i="171"/>
  <c r="S43" i="171"/>
  <c r="S35" i="171"/>
  <c r="S27" i="171"/>
  <c r="S19" i="171"/>
  <c r="S11" i="171"/>
  <c r="S3" i="171"/>
  <c r="S171" i="171"/>
  <c r="S139" i="171"/>
  <c r="S129" i="171"/>
  <c r="S128" i="171"/>
  <c r="S127" i="171"/>
  <c r="S126" i="171"/>
  <c r="S125" i="171"/>
  <c r="S124" i="171"/>
  <c r="S123" i="171"/>
  <c r="S122" i="171"/>
  <c r="S121" i="171"/>
  <c r="S120" i="171"/>
  <c r="S119" i="171"/>
  <c r="S118" i="171"/>
  <c r="S117" i="171"/>
  <c r="S116" i="171"/>
  <c r="S115" i="171"/>
  <c r="S114" i="171"/>
  <c r="S113" i="171"/>
  <c r="S112" i="171"/>
  <c r="S111" i="171"/>
  <c r="S110" i="171"/>
  <c r="S109" i="171"/>
  <c r="S108" i="171"/>
  <c r="S107" i="171"/>
  <c r="S106" i="171"/>
  <c r="S105" i="171"/>
  <c r="S104" i="171"/>
  <c r="S103" i="171"/>
  <c r="S102" i="171"/>
  <c r="S101" i="171"/>
  <c r="S100" i="171"/>
  <c r="S99" i="171"/>
  <c r="S98" i="171"/>
  <c r="S97" i="171"/>
  <c r="S96" i="171"/>
  <c r="S95" i="171"/>
  <c r="S94" i="171"/>
  <c r="S93" i="171"/>
  <c r="S92" i="171"/>
  <c r="S89" i="171"/>
  <c r="S81" i="171"/>
  <c r="S73" i="171"/>
  <c r="S65" i="171"/>
  <c r="S57" i="171"/>
  <c r="S49" i="171"/>
  <c r="S40" i="171"/>
  <c r="S32" i="171"/>
  <c r="S24" i="171"/>
  <c r="S16" i="171"/>
  <c r="S8" i="171"/>
  <c r="S198" i="171"/>
  <c r="S136" i="171"/>
  <c r="S130" i="171"/>
  <c r="S84" i="171"/>
  <c r="S76" i="171"/>
  <c r="S68" i="171"/>
  <c r="S60" i="171"/>
  <c r="S52" i="171"/>
  <c r="S45" i="171"/>
  <c r="S37" i="171"/>
  <c r="S29" i="171"/>
  <c r="S175" i="171"/>
  <c r="S151" i="171"/>
  <c r="S133" i="171"/>
  <c r="S195" i="171"/>
  <c r="S189" i="171"/>
  <c r="S90" i="171"/>
  <c r="S85" i="171"/>
  <c r="S42" i="171"/>
  <c r="S14" i="171"/>
  <c r="S13" i="171"/>
  <c r="S7" i="171"/>
  <c r="S147" i="171"/>
  <c r="S135" i="171"/>
  <c r="S79" i="171"/>
  <c r="S66" i="171"/>
  <c r="S20" i="171"/>
  <c r="S6" i="171"/>
  <c r="S5" i="171"/>
  <c r="S143" i="171"/>
  <c r="S82" i="171"/>
  <c r="S77" i="171"/>
  <c r="S63" i="171"/>
  <c r="S34" i="171"/>
  <c r="S12" i="171"/>
  <c r="S199" i="171"/>
  <c r="S74" i="171"/>
  <c r="S61" i="171"/>
  <c r="S58" i="171"/>
  <c r="S44" i="171"/>
  <c r="S18" i="171"/>
  <c r="S4" i="171"/>
  <c r="S163" i="171"/>
  <c r="S131" i="171"/>
  <c r="S55" i="171"/>
  <c r="S26" i="171"/>
  <c r="S10" i="171"/>
  <c r="S159" i="171"/>
  <c r="S71" i="171"/>
  <c r="S53" i="171"/>
  <c r="S50" i="171"/>
  <c r="S47" i="171"/>
  <c r="S36" i="171"/>
  <c r="S23" i="171"/>
  <c r="S17" i="171"/>
  <c r="S2" i="171"/>
  <c r="S155" i="171"/>
  <c r="S39" i="171"/>
  <c r="S38" i="171"/>
  <c r="S28" i="171"/>
  <c r="S22" i="171"/>
  <c r="S9" i="171"/>
  <c r="S87" i="171"/>
  <c r="S69" i="171"/>
  <c r="S31" i="171"/>
  <c r="S30" i="171"/>
  <c r="S21" i="171"/>
  <c r="S15" i="171"/>
  <c r="O12" i="167"/>
  <c r="O9" i="167" s="1"/>
  <c r="L9" i="167" s="1"/>
  <c r="N12" i="142"/>
  <c r="C70" i="142" s="1"/>
  <c r="AD332" i="171"/>
  <c r="AD324" i="171"/>
  <c r="AD289" i="171"/>
  <c r="AD281" i="171"/>
  <c r="AD273" i="171"/>
  <c r="AD241" i="171"/>
  <c r="AD233" i="171"/>
  <c r="AD331" i="171"/>
  <c r="AD323" i="171"/>
  <c r="AD282" i="171"/>
  <c r="AD274" i="171"/>
  <c r="AD242" i="171"/>
  <c r="AD234" i="171"/>
  <c r="AD330" i="171"/>
  <c r="AD322" i="171"/>
  <c r="AD283" i="171"/>
  <c r="AD275" i="171"/>
  <c r="AD243" i="171"/>
  <c r="AD235" i="171"/>
  <c r="AD227" i="171"/>
  <c r="AD329" i="171"/>
  <c r="AD321" i="171"/>
  <c r="AD284" i="171"/>
  <c r="AD276" i="171"/>
  <c r="AD244" i="171"/>
  <c r="AD236" i="171"/>
  <c r="AD228" i="171"/>
  <c r="AD327" i="171"/>
  <c r="AD319" i="171"/>
  <c r="AD286" i="171"/>
  <c r="AD278" i="171"/>
  <c r="AD238" i="171"/>
  <c r="AD230" i="171"/>
  <c r="AD334" i="171"/>
  <c r="AD333" i="171"/>
  <c r="AD318" i="171"/>
  <c r="AD317" i="171"/>
  <c r="AD237" i="171"/>
  <c r="AD229" i="171"/>
  <c r="AD240" i="171"/>
  <c r="AD232" i="171"/>
  <c r="AD320" i="171"/>
  <c r="AD285" i="171"/>
  <c r="AD277" i="171"/>
  <c r="AD288" i="171"/>
  <c r="AD280" i="171"/>
  <c r="AD272" i="171"/>
  <c r="AD239" i="171"/>
  <c r="AD231" i="171"/>
  <c r="AD198" i="171"/>
  <c r="AD196" i="171"/>
  <c r="AD194" i="171"/>
  <c r="AD192" i="171"/>
  <c r="AD190" i="171"/>
  <c r="AD188" i="171"/>
  <c r="AD186" i="171"/>
  <c r="AD184" i="171"/>
  <c r="AD182" i="171"/>
  <c r="AD326" i="171"/>
  <c r="AD325" i="171"/>
  <c r="AD199" i="171"/>
  <c r="AD193" i="171"/>
  <c r="AD183" i="171"/>
  <c r="AD189" i="171"/>
  <c r="AD195" i="171"/>
  <c r="AD185" i="171"/>
  <c r="AD287" i="171"/>
  <c r="AD187" i="171"/>
  <c r="AD57" i="171"/>
  <c r="AD49" i="171"/>
  <c r="AD197" i="171"/>
  <c r="AD60" i="171"/>
  <c r="AD52" i="171"/>
  <c r="AD279" i="171"/>
  <c r="AD63" i="171"/>
  <c r="AD55" i="171"/>
  <c r="AD47" i="171"/>
  <c r="AD58" i="171"/>
  <c r="AD50" i="171"/>
  <c r="AD328" i="171"/>
  <c r="AD61" i="171"/>
  <c r="AD53" i="171"/>
  <c r="AD106" i="171"/>
  <c r="AD102" i="171"/>
  <c r="AD98" i="171"/>
  <c r="AD94" i="171"/>
  <c r="AD64" i="171"/>
  <c r="AD62" i="171"/>
  <c r="AD59" i="171"/>
  <c r="AD56" i="171"/>
  <c r="AD109" i="171"/>
  <c r="AD105" i="171"/>
  <c r="AD101" i="171"/>
  <c r="AD97" i="171"/>
  <c r="AD93" i="171"/>
  <c r="AD48" i="171"/>
  <c r="AD54" i="171"/>
  <c r="AD51" i="171"/>
  <c r="AD191" i="171"/>
  <c r="AD108" i="171"/>
  <c r="AD104" i="171"/>
  <c r="AD100" i="171"/>
  <c r="AD96" i="171"/>
  <c r="AD92" i="171"/>
  <c r="AD107" i="171"/>
  <c r="AD103" i="171"/>
  <c r="AD99" i="171"/>
  <c r="AD95" i="171"/>
  <c r="K492" i="171"/>
  <c r="E492" i="171" s="1"/>
  <c r="K494" i="171"/>
  <c r="E494" i="171" s="1"/>
  <c r="K493" i="171"/>
  <c r="E493" i="171" s="1"/>
  <c r="K488" i="171"/>
  <c r="E488" i="171" s="1"/>
  <c r="K451" i="171"/>
  <c r="E451" i="171" s="1"/>
  <c r="K449" i="171"/>
  <c r="E449" i="171" s="1"/>
  <c r="K447" i="171"/>
  <c r="E447" i="171" s="1"/>
  <c r="K445" i="171"/>
  <c r="E445" i="171" s="1"/>
  <c r="K443" i="171"/>
  <c r="E443" i="171" s="1"/>
  <c r="K489" i="171"/>
  <c r="E489" i="171" s="1"/>
  <c r="K495" i="171"/>
  <c r="E495" i="171" s="1"/>
  <c r="K491" i="171"/>
  <c r="E491" i="171" s="1"/>
  <c r="K450" i="171"/>
  <c r="E450" i="171" s="1"/>
  <c r="K448" i="171"/>
  <c r="E448" i="171" s="1"/>
  <c r="K446" i="171"/>
  <c r="E446" i="171" s="1"/>
  <c r="K444" i="171"/>
  <c r="E444" i="171" s="1"/>
  <c r="K496" i="171"/>
  <c r="E496" i="171" s="1"/>
  <c r="K490" i="171"/>
  <c r="E490" i="171" s="1"/>
  <c r="K13" i="151"/>
  <c r="J13" i="151"/>
  <c r="I9" i="151"/>
  <c r="I12" i="151"/>
  <c r="K58" i="162"/>
  <c r="K56" i="162" s="1"/>
  <c r="K9" i="162" s="1"/>
  <c r="H9" i="162" s="1"/>
  <c r="J58" i="162"/>
  <c r="N12" i="152"/>
  <c r="C70" i="152" s="1"/>
  <c r="J13" i="144"/>
  <c r="J9" i="144" s="1"/>
  <c r="K15" i="144"/>
  <c r="AD663" i="171"/>
  <c r="AD659" i="171"/>
  <c r="AD666" i="171"/>
  <c r="AD662" i="171"/>
  <c r="AD658" i="171"/>
  <c r="AD614" i="171"/>
  <c r="AD660" i="171"/>
  <c r="AD617" i="171"/>
  <c r="AD665" i="171"/>
  <c r="AD621" i="171"/>
  <c r="AD613" i="171"/>
  <c r="AD616" i="171"/>
  <c r="AD620" i="171"/>
  <c r="AD619" i="171"/>
  <c r="AD661" i="171"/>
  <c r="AD618" i="171"/>
  <c r="AD664" i="171"/>
  <c r="AD615" i="171"/>
  <c r="AD179" i="171"/>
  <c r="AD175" i="171"/>
  <c r="AD180" i="171"/>
  <c r="AD173" i="171"/>
  <c r="AD178" i="171"/>
  <c r="AD177" i="171"/>
  <c r="AD176" i="171"/>
  <c r="AD43" i="171"/>
  <c r="AD174" i="171"/>
  <c r="AD45" i="171"/>
  <c r="AD42" i="171"/>
  <c r="AD39" i="171"/>
  <c r="AD44" i="171"/>
  <c r="AD181" i="171"/>
  <c r="AD46" i="171"/>
  <c r="AD38" i="171"/>
  <c r="AD41" i="171"/>
  <c r="AD40" i="171"/>
  <c r="K15" i="166"/>
  <c r="J13" i="166"/>
  <c r="J9" i="166" s="1"/>
  <c r="I412" i="171"/>
  <c r="I404" i="171"/>
  <c r="I396" i="171"/>
  <c r="I388" i="171"/>
  <c r="I409" i="171"/>
  <c r="I403" i="171"/>
  <c r="I397" i="171"/>
  <c r="I389" i="171"/>
  <c r="I381" i="171"/>
  <c r="I382" i="171"/>
  <c r="I376" i="171"/>
  <c r="I411" i="171"/>
  <c r="I407" i="171"/>
  <c r="I386" i="171"/>
  <c r="I371" i="171"/>
  <c r="I415" i="171"/>
  <c r="I406" i="171"/>
  <c r="I383" i="171"/>
  <c r="I377" i="171"/>
  <c r="I413" i="171"/>
  <c r="I405" i="171"/>
  <c r="I375" i="171"/>
  <c r="I392" i="171"/>
  <c r="I372" i="171"/>
  <c r="I400" i="171"/>
  <c r="I399" i="171"/>
  <c r="I391" i="171"/>
  <c r="I390" i="171"/>
  <c r="I414" i="171"/>
  <c r="I398" i="171"/>
  <c r="I393" i="171"/>
  <c r="I401" i="171"/>
  <c r="I408" i="171"/>
  <c r="I385" i="171"/>
  <c r="I410" i="171"/>
  <c r="I387" i="171"/>
  <c r="I380" i="171"/>
  <c r="I373" i="171"/>
  <c r="I374" i="171"/>
  <c r="I402" i="171"/>
  <c r="I394" i="171"/>
  <c r="I384" i="171"/>
  <c r="I395" i="171"/>
  <c r="I379" i="171"/>
  <c r="I378" i="171"/>
  <c r="O28" i="168"/>
  <c r="O12" i="168" s="1"/>
  <c r="O9" i="168" s="1"/>
  <c r="L9" i="168" s="1"/>
  <c r="N28" i="168"/>
  <c r="N12" i="168" s="1"/>
  <c r="N9" i="168" s="1"/>
  <c r="N9" i="169"/>
  <c r="N12" i="163"/>
  <c r="C70" i="163" s="1"/>
  <c r="J56" i="162"/>
  <c r="J9" i="162" s="1"/>
  <c r="J13" i="165"/>
  <c r="J9" i="165" s="1"/>
  <c r="K15" i="165"/>
  <c r="O15" i="147"/>
  <c r="O12" i="147" s="1"/>
  <c r="O9" i="147" s="1"/>
  <c r="M12" i="147"/>
  <c r="M9" i="147" s="1"/>
  <c r="N15" i="147"/>
  <c r="N12" i="147" s="1"/>
  <c r="I10" i="153"/>
  <c r="N35" i="147"/>
  <c r="L54" i="145"/>
  <c r="L52" i="145" s="1"/>
  <c r="I52" i="145" s="1"/>
  <c r="K54" i="145"/>
  <c r="K52" i="145" s="1"/>
  <c r="K13" i="142"/>
  <c r="I9" i="142"/>
  <c r="J13" i="142"/>
  <c r="I12" i="142"/>
  <c r="M26" i="136"/>
  <c r="O27" i="136"/>
  <c r="N27" i="136"/>
  <c r="N26" i="136" s="1"/>
  <c r="O30" i="137"/>
  <c r="O12" i="137" s="1"/>
  <c r="O9" i="137" s="1"/>
  <c r="L9" i="137" s="1"/>
  <c r="N30" i="137"/>
  <c r="N12" i="137" s="1"/>
  <c r="N9" i="137" s="1"/>
  <c r="M13" i="132"/>
  <c r="M12" i="132" s="1"/>
  <c r="C69" i="132" s="1"/>
  <c r="J9" i="132"/>
  <c r="J12" i="132"/>
  <c r="O26" i="125"/>
  <c r="O9" i="125" s="1"/>
  <c r="L9" i="125" s="1"/>
  <c r="H13" i="134"/>
  <c r="L15" i="123"/>
  <c r="L13" i="123" s="1"/>
  <c r="L9" i="123" s="1"/>
  <c r="I9" i="123" s="1"/>
  <c r="K13" i="123"/>
  <c r="K9" i="123" s="1"/>
  <c r="G9" i="131"/>
  <c r="K9" i="105"/>
  <c r="R47" i="108"/>
  <c r="R48" i="108" s="1"/>
  <c r="R3" i="108" s="1"/>
  <c r="V5" i="108" s="1"/>
  <c r="J13" i="104"/>
  <c r="J9" i="104" s="1"/>
  <c r="K15" i="104"/>
  <c r="N27" i="105"/>
  <c r="N26" i="105" s="1"/>
  <c r="N9" i="105" s="1"/>
  <c r="O27" i="105"/>
  <c r="M26" i="105"/>
  <c r="M9" i="105" s="1"/>
  <c r="J52" i="104"/>
  <c r="L53" i="104"/>
  <c r="L52" i="104" s="1"/>
  <c r="I52" i="104" s="1"/>
  <c r="K53" i="104"/>
  <c r="K52" i="104" s="1"/>
  <c r="K15" i="94"/>
  <c r="J13" i="94"/>
  <c r="J9" i="94" s="1"/>
  <c r="O14" i="85"/>
  <c r="O12" i="85" s="1"/>
  <c r="O9" i="85" s="1"/>
  <c r="L9" i="85" s="1"/>
  <c r="N14" i="85"/>
  <c r="N12" i="85" s="1"/>
  <c r="N9" i="85" s="1"/>
  <c r="M12" i="85"/>
  <c r="M9" i="85" s="1"/>
  <c r="I56" i="80"/>
  <c r="I9" i="80" s="1"/>
  <c r="J57" i="80"/>
  <c r="J56" i="80" s="1"/>
  <c r="K57" i="80"/>
  <c r="K56" i="80" s="1"/>
  <c r="K52" i="73"/>
  <c r="R47" i="76"/>
  <c r="R48" i="76"/>
  <c r="R3" i="76" s="1"/>
  <c r="V5" i="76" s="1"/>
  <c r="R47" i="67"/>
  <c r="R48" i="67"/>
  <c r="R3" i="67" s="1"/>
  <c r="V5" i="67" s="1"/>
  <c r="H13" i="94"/>
  <c r="R3" i="89"/>
  <c r="V5" i="89" s="1"/>
  <c r="K12" i="69"/>
  <c r="H12" i="69" s="1"/>
  <c r="H13" i="61"/>
  <c r="G9" i="80"/>
  <c r="H13" i="63"/>
  <c r="O26" i="54"/>
  <c r="J56" i="50"/>
  <c r="R48" i="47"/>
  <c r="R47" i="47"/>
  <c r="M12" i="64"/>
  <c r="M9" i="64" s="1"/>
  <c r="O14" i="64"/>
  <c r="O12" i="64" s="1"/>
  <c r="O9" i="64" s="1"/>
  <c r="L9" i="64" s="1"/>
  <c r="N14" i="64"/>
  <c r="N12" i="64" s="1"/>
  <c r="L13" i="52"/>
  <c r="L9" i="52" s="1"/>
  <c r="K13" i="62"/>
  <c r="K9" i="44"/>
  <c r="L55" i="62"/>
  <c r="L51" i="62" s="1"/>
  <c r="I51" i="62" s="1"/>
  <c r="K55" i="62"/>
  <c r="K51" i="62" s="1"/>
  <c r="R24" i="48"/>
  <c r="R25" i="48"/>
  <c r="J13" i="29"/>
  <c r="I12" i="29"/>
  <c r="I9" i="29"/>
  <c r="K13" i="29"/>
  <c r="K23" i="71"/>
  <c r="J23" i="71"/>
  <c r="N28" i="43"/>
  <c r="N26" i="43" s="1"/>
  <c r="O28" i="43"/>
  <c r="O26" i="43" s="1"/>
  <c r="O9" i="33"/>
  <c r="L9" i="33" s="1"/>
  <c r="M9" i="43"/>
  <c r="O28" i="14"/>
  <c r="O12" i="14" s="1"/>
  <c r="O9" i="14" s="1"/>
  <c r="L9" i="14" s="1"/>
  <c r="N28" i="14"/>
  <c r="N12" i="14" s="1"/>
  <c r="N9" i="14" s="1"/>
  <c r="I56" i="38"/>
  <c r="I9" i="38" s="1"/>
  <c r="M12" i="34"/>
  <c r="M9" i="34" s="1"/>
  <c r="O14" i="34"/>
  <c r="O12" i="34" s="1"/>
  <c r="O9" i="34" s="1"/>
  <c r="N14" i="34"/>
  <c r="N12" i="34" s="1"/>
  <c r="N9" i="34" s="1"/>
  <c r="I13" i="30"/>
  <c r="K14" i="30"/>
  <c r="J14" i="30"/>
  <c r="I10" i="30"/>
  <c r="R94" i="27"/>
  <c r="R93" i="27"/>
  <c r="M12" i="13"/>
  <c r="O14" i="13"/>
  <c r="O12" i="13" s="1"/>
  <c r="O9" i="13" s="1"/>
  <c r="L9" i="13" s="1"/>
  <c r="N14" i="13"/>
  <c r="N12" i="13" s="1"/>
  <c r="R3" i="66"/>
  <c r="V5" i="66" s="1"/>
  <c r="R3" i="16"/>
  <c r="V5" i="16" s="1"/>
  <c r="N12" i="9"/>
  <c r="C70" i="9" s="1"/>
  <c r="K148" i="3"/>
  <c r="L148" i="3" s="1"/>
  <c r="M150" i="3"/>
  <c r="O183" i="2"/>
  <c r="O182" i="2" s="1"/>
  <c r="M182" i="2"/>
  <c r="N183" i="2"/>
  <c r="N182" i="2" s="1"/>
  <c r="O12" i="19"/>
  <c r="C71" i="19" s="1"/>
  <c r="M26" i="13"/>
  <c r="O27" i="13"/>
  <c r="N27" i="13"/>
  <c r="N26" i="13" s="1"/>
  <c r="N131" i="3"/>
  <c r="J46" i="20"/>
  <c r="J43" i="20" s="1"/>
  <c r="I43" i="20"/>
  <c r="I10" i="20" s="1"/>
  <c r="K46" i="20"/>
  <c r="K43" i="20" s="1"/>
  <c r="N77" i="2"/>
  <c r="O77" i="2"/>
  <c r="O83" i="3"/>
  <c r="N83" i="3"/>
  <c r="J13" i="12"/>
  <c r="J9" i="12" s="1"/>
  <c r="K15" i="12"/>
  <c r="O117" i="2"/>
  <c r="N117" i="2"/>
  <c r="K29" i="2"/>
  <c r="L29" i="2" s="1"/>
  <c r="N15" i="2" l="1"/>
  <c r="O25" i="2"/>
  <c r="N25" i="2"/>
  <c r="F22" i="2"/>
  <c r="I25" i="2"/>
  <c r="E22" i="2"/>
  <c r="G22" i="2"/>
  <c r="K22" i="2"/>
  <c r="M22" i="2" s="1"/>
  <c r="R3" i="128"/>
  <c r="V5" i="128" s="1"/>
  <c r="R3" i="130"/>
  <c r="V5" i="130" s="1"/>
  <c r="H9" i="49"/>
  <c r="K10" i="143"/>
  <c r="H10" i="143" s="1"/>
  <c r="R3" i="58"/>
  <c r="V5" i="58" s="1"/>
  <c r="I9" i="42"/>
  <c r="N41" i="3"/>
  <c r="O41" i="3"/>
  <c r="E290" i="171"/>
  <c r="E61" i="171"/>
  <c r="E652" i="171"/>
  <c r="N9" i="13"/>
  <c r="M13" i="29"/>
  <c r="M12" i="29" s="1"/>
  <c r="C69" i="29" s="1"/>
  <c r="J9" i="29"/>
  <c r="J12" i="29"/>
  <c r="N9" i="64"/>
  <c r="I52" i="83"/>
  <c r="L9" i="147"/>
  <c r="K80" i="2"/>
  <c r="L80" i="2" s="1"/>
  <c r="M82" i="2"/>
  <c r="M13" i="19"/>
  <c r="M12" i="19" s="1"/>
  <c r="C69" i="19" s="1"/>
  <c r="J9" i="19"/>
  <c r="J12" i="19"/>
  <c r="H9" i="21"/>
  <c r="H9" i="62"/>
  <c r="I13" i="62"/>
  <c r="L9" i="93"/>
  <c r="I9" i="93" s="1"/>
  <c r="N9" i="136"/>
  <c r="N9" i="156"/>
  <c r="N63" i="2"/>
  <c r="I13" i="41"/>
  <c r="H9" i="41"/>
  <c r="N9" i="43"/>
  <c r="I9" i="72"/>
  <c r="N9" i="84"/>
  <c r="E337" i="171"/>
  <c r="E180" i="171"/>
  <c r="E193" i="171"/>
  <c r="E154" i="171"/>
  <c r="E234" i="171"/>
  <c r="E155" i="171"/>
  <c r="E189" i="171"/>
  <c r="E168" i="171"/>
  <c r="E203" i="171"/>
  <c r="E282" i="171"/>
  <c r="E333" i="171"/>
  <c r="E190" i="171"/>
  <c r="E213" i="171"/>
  <c r="E207" i="171"/>
  <c r="E244" i="171"/>
  <c r="E211" i="171"/>
  <c r="E223" i="171"/>
  <c r="E275" i="171"/>
  <c r="E367" i="171"/>
  <c r="E281" i="171"/>
  <c r="E353" i="171"/>
  <c r="E248" i="171"/>
  <c r="E320" i="171"/>
  <c r="E214" i="171"/>
  <c r="E239" i="171"/>
  <c r="E300" i="171"/>
  <c r="E348" i="171"/>
  <c r="E254" i="171"/>
  <c r="E329" i="171"/>
  <c r="E307" i="171"/>
  <c r="E577" i="171"/>
  <c r="E580" i="171"/>
  <c r="E584" i="171"/>
  <c r="E589" i="171"/>
  <c r="E605" i="171"/>
  <c r="E614" i="171"/>
  <c r="N116" i="3"/>
  <c r="N114" i="3" s="1"/>
  <c r="M114" i="3"/>
  <c r="O116" i="3"/>
  <c r="O114" i="3" s="1"/>
  <c r="N9" i="54"/>
  <c r="J10" i="102"/>
  <c r="I13" i="123"/>
  <c r="K13" i="81"/>
  <c r="H13" i="81" s="1"/>
  <c r="K10" i="81"/>
  <c r="H10" i="81" s="1"/>
  <c r="J9" i="41"/>
  <c r="E381" i="171"/>
  <c r="E385" i="171"/>
  <c r="O168" i="2"/>
  <c r="N168" i="2"/>
  <c r="L15" i="53"/>
  <c r="L13" i="53" s="1"/>
  <c r="L9" i="53" s="1"/>
  <c r="I9" i="53" s="1"/>
  <c r="K13" i="53"/>
  <c r="K9" i="53" s="1"/>
  <c r="K9" i="79"/>
  <c r="H9" i="79" s="1"/>
  <c r="K12" i="79"/>
  <c r="H12" i="79" s="1"/>
  <c r="E371" i="171"/>
  <c r="E372" i="171"/>
  <c r="E407" i="171"/>
  <c r="O9" i="24"/>
  <c r="L9" i="24" s="1"/>
  <c r="K9" i="59"/>
  <c r="H9" i="59" s="1"/>
  <c r="K12" i="59"/>
  <c r="H12" i="59" s="1"/>
  <c r="L15" i="63"/>
  <c r="L13" i="63" s="1"/>
  <c r="L9" i="63" s="1"/>
  <c r="I9" i="63" s="1"/>
  <c r="K13" i="63"/>
  <c r="K9" i="63" s="1"/>
  <c r="J10" i="143"/>
  <c r="E519" i="171"/>
  <c r="E518" i="171"/>
  <c r="E503" i="171"/>
  <c r="E25" i="171"/>
  <c r="E45" i="171"/>
  <c r="E77" i="171"/>
  <c r="E91" i="171"/>
  <c r="E22" i="171"/>
  <c r="E37" i="171"/>
  <c r="E50" i="171"/>
  <c r="E15" i="171"/>
  <c r="E79" i="171"/>
  <c r="E42" i="171"/>
  <c r="E94" i="171"/>
  <c r="E102" i="171"/>
  <c r="E110" i="171"/>
  <c r="E118" i="171"/>
  <c r="E126" i="171"/>
  <c r="E65" i="171"/>
  <c r="E62" i="171"/>
  <c r="E635" i="171"/>
  <c r="E629" i="171"/>
  <c r="E632" i="171"/>
  <c r="E660" i="171"/>
  <c r="E657" i="171"/>
  <c r="E662" i="171"/>
  <c r="E481" i="171"/>
  <c r="E513" i="171"/>
  <c r="E391" i="171"/>
  <c r="L9" i="62"/>
  <c r="I9" i="62" s="1"/>
  <c r="L15" i="135"/>
  <c r="L13" i="135" s="1"/>
  <c r="L9" i="135" s="1"/>
  <c r="I9" i="135" s="1"/>
  <c r="K13" i="135"/>
  <c r="K9" i="135" s="1"/>
  <c r="E368" i="171"/>
  <c r="E262" i="171"/>
  <c r="I13" i="124"/>
  <c r="H9" i="124"/>
  <c r="E663" i="171"/>
  <c r="L9" i="55"/>
  <c r="L182" i="2"/>
  <c r="M9" i="13"/>
  <c r="L9" i="34"/>
  <c r="J9" i="151"/>
  <c r="J12" i="151"/>
  <c r="K29" i="3"/>
  <c r="L29" i="3" s="1"/>
  <c r="M31" i="3"/>
  <c r="K9" i="19"/>
  <c r="H9" i="19" s="1"/>
  <c r="K12" i="19"/>
  <c r="H9" i="154"/>
  <c r="J13" i="164"/>
  <c r="J10" i="164"/>
  <c r="J10" i="51"/>
  <c r="J13" i="51"/>
  <c r="K13" i="143"/>
  <c r="H13" i="143" s="1"/>
  <c r="M148" i="2"/>
  <c r="O150" i="2"/>
  <c r="N150" i="2"/>
  <c r="K13" i="21"/>
  <c r="K9" i="21" s="1"/>
  <c r="L15" i="21"/>
  <c r="L13" i="21" s="1"/>
  <c r="L9" i="21" s="1"/>
  <c r="I9" i="21" s="1"/>
  <c r="K12" i="152"/>
  <c r="K9" i="152"/>
  <c r="H9" i="152" s="1"/>
  <c r="K13" i="155"/>
  <c r="K9" i="155" s="1"/>
  <c r="L15" i="155"/>
  <c r="L13" i="155" s="1"/>
  <c r="L9" i="155" s="1"/>
  <c r="I9" i="155" s="1"/>
  <c r="E187" i="171"/>
  <c r="E153" i="171"/>
  <c r="E318" i="171"/>
  <c r="E162" i="171"/>
  <c r="E185" i="171"/>
  <c r="E163" i="171"/>
  <c r="E144" i="171"/>
  <c r="E177" i="171"/>
  <c r="E229" i="171"/>
  <c r="E293" i="171"/>
  <c r="E366" i="171"/>
  <c r="E194" i="171"/>
  <c r="E268" i="171"/>
  <c r="E253" i="171"/>
  <c r="E269" i="171"/>
  <c r="E325" i="171"/>
  <c r="E227" i="171"/>
  <c r="E291" i="171"/>
  <c r="E233" i="171"/>
  <c r="E297" i="171"/>
  <c r="E361" i="171"/>
  <c r="E264" i="171"/>
  <c r="E328" i="171"/>
  <c r="E218" i="171"/>
  <c r="E255" i="171"/>
  <c r="E306" i="171"/>
  <c r="E356" i="171"/>
  <c r="E270" i="171"/>
  <c r="E342" i="171"/>
  <c r="E603" i="171"/>
  <c r="E585" i="171"/>
  <c r="E596" i="171"/>
  <c r="E599" i="171"/>
  <c r="E617" i="171"/>
  <c r="E621" i="171"/>
  <c r="E619" i="171"/>
  <c r="O25" i="3"/>
  <c r="N25" i="3"/>
  <c r="K13" i="73"/>
  <c r="K9" i="73" s="1"/>
  <c r="L15" i="73"/>
  <c r="L13" i="73" s="1"/>
  <c r="L9" i="73" s="1"/>
  <c r="I9" i="73" s="1"/>
  <c r="I52" i="22"/>
  <c r="I9" i="32"/>
  <c r="C72" i="132"/>
  <c r="K9" i="163"/>
  <c r="H9" i="163" s="1"/>
  <c r="K12" i="163"/>
  <c r="J9" i="141"/>
  <c r="J12" i="141"/>
  <c r="E387" i="171"/>
  <c r="L9" i="22"/>
  <c r="H9" i="82"/>
  <c r="E405" i="171"/>
  <c r="E374" i="171"/>
  <c r="E404" i="171"/>
  <c r="E515" i="171"/>
  <c r="E522" i="171"/>
  <c r="E59" i="171"/>
  <c r="E64" i="171"/>
  <c r="E14" i="171"/>
  <c r="E8" i="171"/>
  <c r="E69" i="171"/>
  <c r="E53" i="171"/>
  <c r="E66" i="171"/>
  <c r="E31" i="171"/>
  <c r="E135" i="171"/>
  <c r="E60" i="171"/>
  <c r="E96" i="171"/>
  <c r="E104" i="171"/>
  <c r="E112" i="171"/>
  <c r="E120" i="171"/>
  <c r="E128" i="171"/>
  <c r="E81" i="171"/>
  <c r="E78" i="171"/>
  <c r="E634" i="171"/>
  <c r="E651" i="171"/>
  <c r="E655" i="171"/>
  <c r="E633" i="171"/>
  <c r="E665" i="171"/>
  <c r="E479" i="171"/>
  <c r="E514" i="171"/>
  <c r="E390" i="171"/>
  <c r="J9" i="38"/>
  <c r="E159" i="171"/>
  <c r="J9" i="63"/>
  <c r="E52" i="171"/>
  <c r="E631" i="171"/>
  <c r="N150" i="3"/>
  <c r="N148" i="3" s="1"/>
  <c r="M148" i="3"/>
  <c r="O150" i="3"/>
  <c r="O148" i="3" s="1"/>
  <c r="K13" i="104"/>
  <c r="K9" i="104" s="1"/>
  <c r="L15" i="104"/>
  <c r="L13" i="104" s="1"/>
  <c r="L9" i="104" s="1"/>
  <c r="I9" i="104" s="1"/>
  <c r="H9" i="134"/>
  <c r="K13" i="144"/>
  <c r="K9" i="144" s="1"/>
  <c r="L15" i="144"/>
  <c r="L13" i="144" s="1"/>
  <c r="K9" i="151"/>
  <c r="H9" i="151" s="1"/>
  <c r="K12" i="151"/>
  <c r="H12" i="151" s="1"/>
  <c r="K10" i="10"/>
  <c r="H10" i="10" s="1"/>
  <c r="K13" i="10"/>
  <c r="H13" i="10" s="1"/>
  <c r="H9" i="103"/>
  <c r="I13" i="103"/>
  <c r="K13" i="164"/>
  <c r="H13" i="164" s="1"/>
  <c r="K10" i="164"/>
  <c r="H10" i="164" s="1"/>
  <c r="R3" i="129"/>
  <c r="V5" i="129" s="1"/>
  <c r="E145" i="171"/>
  <c r="E179" i="171"/>
  <c r="E339" i="171"/>
  <c r="E166" i="171"/>
  <c r="E313" i="171"/>
  <c r="E167" i="171"/>
  <c r="E148" i="171"/>
  <c r="E183" i="171"/>
  <c r="E237" i="171"/>
  <c r="E324" i="171"/>
  <c r="E178" i="171"/>
  <c r="E196" i="171"/>
  <c r="E276" i="171"/>
  <c r="E298" i="171"/>
  <c r="E277" i="171"/>
  <c r="E358" i="171"/>
  <c r="E235" i="171"/>
  <c r="E344" i="171"/>
  <c r="E241" i="171"/>
  <c r="E301" i="171"/>
  <c r="E362" i="171"/>
  <c r="E272" i="171"/>
  <c r="E335" i="171"/>
  <c r="E220" i="171"/>
  <c r="E263" i="171"/>
  <c r="E310" i="171"/>
  <c r="E363" i="171"/>
  <c r="E278" i="171"/>
  <c r="E304" i="171"/>
  <c r="E600" i="171"/>
  <c r="E587" i="171"/>
  <c r="E620" i="171"/>
  <c r="E604" i="171"/>
  <c r="E578" i="171"/>
  <c r="E602" i="171"/>
  <c r="O100" i="2"/>
  <c r="N100" i="2"/>
  <c r="J12" i="163"/>
  <c r="M13" i="163"/>
  <c r="M12" i="163" s="1"/>
  <c r="C69" i="163" s="1"/>
  <c r="J9" i="163"/>
  <c r="K9" i="141"/>
  <c r="H9" i="141" s="1"/>
  <c r="K12" i="141"/>
  <c r="H12" i="141" s="1"/>
  <c r="I9" i="83"/>
  <c r="E384" i="171"/>
  <c r="K9" i="22"/>
  <c r="C72" i="80"/>
  <c r="M13" i="101"/>
  <c r="M12" i="101" s="1"/>
  <c r="C69" i="101" s="1"/>
  <c r="J9" i="101"/>
  <c r="J12" i="101"/>
  <c r="E412" i="171"/>
  <c r="E379" i="171"/>
  <c r="E406" i="171"/>
  <c r="O109" i="2"/>
  <c r="N109" i="2"/>
  <c r="O24" i="3"/>
  <c r="N24" i="3"/>
  <c r="I13" i="72"/>
  <c r="H9" i="72"/>
  <c r="O9" i="169"/>
  <c r="E520" i="171"/>
  <c r="E497" i="171"/>
  <c r="E75" i="171"/>
  <c r="E83" i="171"/>
  <c r="E21" i="171"/>
  <c r="E30" i="171"/>
  <c r="E17" i="171"/>
  <c r="E56" i="171"/>
  <c r="E74" i="171"/>
  <c r="E39" i="171"/>
  <c r="E2" i="171"/>
  <c r="E68" i="171"/>
  <c r="E97" i="171"/>
  <c r="E105" i="171"/>
  <c r="E113" i="171"/>
  <c r="E121" i="171"/>
  <c r="E129" i="171"/>
  <c r="E89" i="171"/>
  <c r="E86" i="171"/>
  <c r="E623" i="171"/>
  <c r="E625" i="171"/>
  <c r="E622" i="171"/>
  <c r="E637" i="171"/>
  <c r="E642" i="171"/>
  <c r="M13" i="111"/>
  <c r="M12" i="111" s="1"/>
  <c r="C69" i="111" s="1"/>
  <c r="J9" i="111"/>
  <c r="J12" i="111"/>
  <c r="E480" i="171"/>
  <c r="E486" i="171"/>
  <c r="E507" i="171"/>
  <c r="E510" i="171"/>
  <c r="E397" i="171"/>
  <c r="R3" i="48"/>
  <c r="V5" i="48" s="1"/>
  <c r="L15" i="165"/>
  <c r="L13" i="165" s="1"/>
  <c r="K13" i="165"/>
  <c r="K9" i="165" s="1"/>
  <c r="N32" i="3"/>
  <c r="O32" i="3"/>
  <c r="E242" i="171"/>
  <c r="E205" i="171"/>
  <c r="E383" i="171"/>
  <c r="E414" i="171"/>
  <c r="E73" i="171"/>
  <c r="K13" i="94"/>
  <c r="K9" i="94" s="1"/>
  <c r="L15" i="94"/>
  <c r="L13" i="94" s="1"/>
  <c r="L9" i="94" s="1"/>
  <c r="I9" i="94" s="1"/>
  <c r="O161" i="2"/>
  <c r="N161" i="2"/>
  <c r="O92" i="2"/>
  <c r="N92" i="2"/>
  <c r="M13" i="80"/>
  <c r="M12" i="80" s="1"/>
  <c r="C69" i="80" s="1"/>
  <c r="J9" i="80"/>
  <c r="J12" i="80"/>
  <c r="M13" i="70"/>
  <c r="M12" i="70" s="1"/>
  <c r="C69" i="70" s="1"/>
  <c r="J9" i="70"/>
  <c r="J12" i="70"/>
  <c r="K10" i="133"/>
  <c r="H10" i="133" s="1"/>
  <c r="K13" i="133"/>
  <c r="H13" i="133" s="1"/>
  <c r="J12" i="100"/>
  <c r="J9" i="100"/>
  <c r="J12" i="60"/>
  <c r="M13" i="60"/>
  <c r="M12" i="60" s="1"/>
  <c r="C69" i="60" s="1"/>
  <c r="J9" i="60"/>
  <c r="N9" i="126"/>
  <c r="E137" i="171"/>
  <c r="E173" i="171"/>
  <c r="E138" i="171"/>
  <c r="E170" i="171"/>
  <c r="E139" i="171"/>
  <c r="E171" i="171"/>
  <c r="E152" i="171"/>
  <c r="E209" i="171"/>
  <c r="E245" i="171"/>
  <c r="E357" i="171"/>
  <c r="E182" i="171"/>
  <c r="E198" i="171"/>
  <c r="E284" i="171"/>
  <c r="E311" i="171"/>
  <c r="E285" i="171"/>
  <c r="E215" i="171"/>
  <c r="E243" i="171"/>
  <c r="E351" i="171"/>
  <c r="E249" i="171"/>
  <c r="E309" i="171"/>
  <c r="E369" i="171"/>
  <c r="E280" i="171"/>
  <c r="E206" i="171"/>
  <c r="E222" i="171"/>
  <c r="E271" i="171"/>
  <c r="E314" i="171"/>
  <c r="E364" i="171"/>
  <c r="E286" i="171"/>
  <c r="E312" i="171"/>
  <c r="E601" i="171"/>
  <c r="E593" i="171"/>
  <c r="E576" i="171"/>
  <c r="E607" i="171"/>
  <c r="E586" i="171"/>
  <c r="E610" i="171"/>
  <c r="O9" i="115"/>
  <c r="L9" i="115" s="1"/>
  <c r="J13" i="153"/>
  <c r="R3" i="47"/>
  <c r="V5" i="47" s="1"/>
  <c r="M99" i="2"/>
  <c r="K97" i="2"/>
  <c r="L97" i="2" s="1"/>
  <c r="E388" i="171"/>
  <c r="O22" i="3"/>
  <c r="N22" i="3"/>
  <c r="K12" i="50"/>
  <c r="K9" i="50"/>
  <c r="H9" i="50" s="1"/>
  <c r="E375" i="171"/>
  <c r="E402" i="171"/>
  <c r="E410" i="171"/>
  <c r="H9" i="12"/>
  <c r="I13" i="12"/>
  <c r="H9" i="52"/>
  <c r="I13" i="52"/>
  <c r="N9" i="106"/>
  <c r="I9" i="103"/>
  <c r="E505" i="171"/>
  <c r="E502" i="171"/>
  <c r="E5" i="171"/>
  <c r="E132" i="171"/>
  <c r="E33" i="171"/>
  <c r="E41" i="171"/>
  <c r="E29" i="171"/>
  <c r="E72" i="171"/>
  <c r="E82" i="171"/>
  <c r="E47" i="171"/>
  <c r="E10" i="171"/>
  <c r="E76" i="171"/>
  <c r="E98" i="171"/>
  <c r="E106" i="171"/>
  <c r="E114" i="171"/>
  <c r="E122" i="171"/>
  <c r="E130" i="171"/>
  <c r="E24" i="171"/>
  <c r="E136" i="171"/>
  <c r="E643" i="171"/>
  <c r="E648" i="171"/>
  <c r="E626" i="171"/>
  <c r="E641" i="171"/>
  <c r="E646" i="171"/>
  <c r="E482" i="171"/>
  <c r="E484" i="171"/>
  <c r="E512" i="171"/>
  <c r="E508" i="171"/>
  <c r="E395" i="171"/>
  <c r="E315" i="171"/>
  <c r="E377" i="171"/>
  <c r="E396" i="171"/>
  <c r="H9" i="94"/>
  <c r="I13" i="94"/>
  <c r="O9" i="126"/>
  <c r="L9" i="126" s="1"/>
  <c r="N9" i="157"/>
  <c r="K9" i="100"/>
  <c r="H9" i="100" s="1"/>
  <c r="K12" i="100"/>
  <c r="H12" i="100" s="1"/>
  <c r="L15" i="145"/>
  <c r="L13" i="145" s="1"/>
  <c r="L9" i="145" s="1"/>
  <c r="I9" i="145" s="1"/>
  <c r="K13" i="145"/>
  <c r="K9" i="145" s="1"/>
  <c r="J12" i="18"/>
  <c r="J9" i="18"/>
  <c r="L15" i="113"/>
  <c r="L13" i="113" s="1"/>
  <c r="K13" i="113"/>
  <c r="K9" i="113" s="1"/>
  <c r="I13" i="93"/>
  <c r="J12" i="152"/>
  <c r="M13" i="152"/>
  <c r="M12" i="152" s="1"/>
  <c r="C69" i="152" s="1"/>
  <c r="J9" i="152"/>
  <c r="K13" i="154"/>
  <c r="K9" i="154" s="1"/>
  <c r="L15" i="154"/>
  <c r="L13" i="154" s="1"/>
  <c r="L9" i="154" s="1"/>
  <c r="I9" i="154" s="1"/>
  <c r="E149" i="171"/>
  <c r="E141" i="171"/>
  <c r="E142" i="171"/>
  <c r="E174" i="171"/>
  <c r="E143" i="171"/>
  <c r="E175" i="171"/>
  <c r="E156" i="171"/>
  <c r="E334" i="171"/>
  <c r="E258" i="171"/>
  <c r="E252" i="171"/>
  <c r="E184" i="171"/>
  <c r="E200" i="171"/>
  <c r="E332" i="171"/>
  <c r="E343" i="171"/>
  <c r="E292" i="171"/>
  <c r="E217" i="171"/>
  <c r="E251" i="171"/>
  <c r="E352" i="171"/>
  <c r="E257" i="171"/>
  <c r="E340" i="171"/>
  <c r="E370" i="171"/>
  <c r="E288" i="171"/>
  <c r="E208" i="171"/>
  <c r="E224" i="171"/>
  <c r="E279" i="171"/>
  <c r="E336" i="171"/>
  <c r="E230" i="171"/>
  <c r="E294" i="171"/>
  <c r="E308" i="171"/>
  <c r="E612" i="171"/>
  <c r="E595" i="171"/>
  <c r="E582" i="171"/>
  <c r="E616" i="171"/>
  <c r="E594" i="171"/>
  <c r="E618" i="171"/>
  <c r="K46" i="2"/>
  <c r="L46" i="2" s="1"/>
  <c r="M48" i="2"/>
  <c r="J10" i="20"/>
  <c r="J13" i="20"/>
  <c r="J13" i="112"/>
  <c r="J10" i="112"/>
  <c r="L15" i="124"/>
  <c r="L13" i="124" s="1"/>
  <c r="L9" i="124" s="1"/>
  <c r="I9" i="124" s="1"/>
  <c r="K13" i="124"/>
  <c r="K9" i="124" s="1"/>
  <c r="J10" i="81"/>
  <c r="J13" i="81"/>
  <c r="O114" i="2"/>
  <c r="E382" i="171"/>
  <c r="J12" i="49"/>
  <c r="J9" i="49"/>
  <c r="M13" i="50"/>
  <c r="M12" i="50" s="1"/>
  <c r="C69" i="50" s="1"/>
  <c r="J9" i="50"/>
  <c r="J12" i="50"/>
  <c r="K9" i="101"/>
  <c r="H9" i="101" s="1"/>
  <c r="K12" i="101"/>
  <c r="E408" i="171"/>
  <c r="E378" i="171"/>
  <c r="E376" i="171"/>
  <c r="E415" i="171"/>
  <c r="N82" i="3"/>
  <c r="N80" i="3" s="1"/>
  <c r="M80" i="3"/>
  <c r="O82" i="3"/>
  <c r="O80" i="3" s="1"/>
  <c r="O9" i="106"/>
  <c r="L9" i="106" s="1"/>
  <c r="E517" i="171"/>
  <c r="E499" i="171"/>
  <c r="E500" i="171"/>
  <c r="E12" i="171"/>
  <c r="E6" i="171"/>
  <c r="E43" i="171"/>
  <c r="E88" i="171"/>
  <c r="E48" i="171"/>
  <c r="E28" i="171"/>
  <c r="E90" i="171"/>
  <c r="E55" i="171"/>
  <c r="E18" i="171"/>
  <c r="E84" i="171"/>
  <c r="E99" i="171"/>
  <c r="E107" i="171"/>
  <c r="E115" i="171"/>
  <c r="E123" i="171"/>
  <c r="E133" i="171"/>
  <c r="E32" i="171"/>
  <c r="E640" i="171"/>
  <c r="E659" i="171"/>
  <c r="E639" i="171"/>
  <c r="E630" i="171"/>
  <c r="E645" i="171"/>
  <c r="E650" i="171"/>
  <c r="K9" i="111"/>
  <c r="H9" i="111" s="1"/>
  <c r="K12" i="111"/>
  <c r="E483" i="171"/>
  <c r="E511" i="171"/>
  <c r="E392" i="171"/>
  <c r="E393" i="171"/>
  <c r="K12" i="142"/>
  <c r="K9" i="142"/>
  <c r="H9" i="142" s="1"/>
  <c r="K12" i="60"/>
  <c r="K9" i="60"/>
  <c r="H9" i="60" s="1"/>
  <c r="E260" i="171"/>
  <c r="J13" i="71"/>
  <c r="J10" i="71"/>
  <c r="K165" i="2"/>
  <c r="M167" i="2"/>
  <c r="E38" i="171"/>
  <c r="E656" i="171"/>
  <c r="J10" i="30"/>
  <c r="J13" i="30"/>
  <c r="K9" i="62"/>
  <c r="N9" i="147"/>
  <c r="K13" i="166"/>
  <c r="K9" i="166" s="1"/>
  <c r="L15" i="166"/>
  <c r="L13" i="166" s="1"/>
  <c r="L9" i="166" s="1"/>
  <c r="I9" i="166" s="1"/>
  <c r="J10" i="10"/>
  <c r="J13" i="10"/>
  <c r="K9" i="80"/>
  <c r="H9" i="80" s="1"/>
  <c r="K12" i="80"/>
  <c r="K12" i="70"/>
  <c r="K9" i="70"/>
  <c r="H9" i="70" s="1"/>
  <c r="J10" i="133"/>
  <c r="J13" i="133"/>
  <c r="O9" i="156"/>
  <c r="L9" i="156" s="1"/>
  <c r="N15" i="3"/>
  <c r="O15" i="3"/>
  <c r="K12" i="18"/>
  <c r="H12" i="18" s="1"/>
  <c r="K9" i="18"/>
  <c r="H9" i="18" s="1"/>
  <c r="H9" i="131"/>
  <c r="E157" i="171"/>
  <c r="E169" i="171"/>
  <c r="E146" i="171"/>
  <c r="E181" i="171"/>
  <c r="E147" i="171"/>
  <c r="E195" i="171"/>
  <c r="E160" i="171"/>
  <c r="E199" i="171"/>
  <c r="E266" i="171"/>
  <c r="E305" i="171"/>
  <c r="E186" i="171"/>
  <c r="E202" i="171"/>
  <c r="E349" i="171"/>
  <c r="E228" i="171"/>
  <c r="E326" i="171"/>
  <c r="E219" i="171"/>
  <c r="E259" i="171"/>
  <c r="E359" i="171"/>
  <c r="E265" i="171"/>
  <c r="E345" i="171"/>
  <c r="E232" i="171"/>
  <c r="E296" i="171"/>
  <c r="E210" i="171"/>
  <c r="E226" i="171"/>
  <c r="E287" i="171"/>
  <c r="E341" i="171"/>
  <c r="E238" i="171"/>
  <c r="E321" i="171"/>
  <c r="E316" i="171"/>
  <c r="E615" i="171"/>
  <c r="E608" i="171"/>
  <c r="E590" i="171"/>
  <c r="E573" i="171"/>
  <c r="E583" i="171"/>
  <c r="E598" i="171"/>
  <c r="O49" i="2"/>
  <c r="N49" i="2"/>
  <c r="K10" i="20"/>
  <c r="H10" i="20" s="1"/>
  <c r="K13" i="20"/>
  <c r="H13" i="20" s="1"/>
  <c r="K10" i="112"/>
  <c r="H10" i="112" s="1"/>
  <c r="K13" i="112"/>
  <c r="H13" i="112" s="1"/>
  <c r="F9" i="169"/>
  <c r="N114" i="2"/>
  <c r="E380" i="171"/>
  <c r="J10" i="40"/>
  <c r="J13" i="40"/>
  <c r="J13" i="92"/>
  <c r="J10" i="92"/>
  <c r="E400" i="171"/>
  <c r="E403" i="171"/>
  <c r="E373" i="171"/>
  <c r="E401" i="171"/>
  <c r="M9" i="106"/>
  <c r="E523" i="171"/>
  <c r="E504" i="171"/>
  <c r="E498" i="171"/>
  <c r="E4" i="171"/>
  <c r="E19" i="171"/>
  <c r="E13" i="171"/>
  <c r="E67" i="171"/>
  <c r="E9" i="171"/>
  <c r="E51" i="171"/>
  <c r="E36" i="171"/>
  <c r="E131" i="171"/>
  <c r="E63" i="171"/>
  <c r="E26" i="171"/>
  <c r="E92" i="171"/>
  <c r="E100" i="171"/>
  <c r="E108" i="171"/>
  <c r="E116" i="171"/>
  <c r="E124" i="171"/>
  <c r="E49" i="171"/>
  <c r="E40" i="171"/>
  <c r="E627" i="171"/>
  <c r="E638" i="171"/>
  <c r="E624" i="171"/>
  <c r="E644" i="171"/>
  <c r="E649" i="171"/>
  <c r="E654" i="171"/>
  <c r="E485" i="171"/>
  <c r="E394" i="171"/>
  <c r="K13" i="12"/>
  <c r="K9" i="12" s="1"/>
  <c r="L15" i="12"/>
  <c r="L13" i="12" s="1"/>
  <c r="L9" i="12" s="1"/>
  <c r="I9" i="12" s="1"/>
  <c r="E323" i="171"/>
  <c r="E597" i="171"/>
  <c r="L15" i="82"/>
  <c r="L13" i="82" s="1"/>
  <c r="L9" i="82" s="1"/>
  <c r="I9" i="82" s="1"/>
  <c r="K13" i="82"/>
  <c r="K9" i="82" s="1"/>
  <c r="E398" i="171"/>
  <c r="K9" i="29"/>
  <c r="H9" i="29" s="1"/>
  <c r="K12" i="29"/>
  <c r="K13" i="30"/>
  <c r="H13" i="30" s="1"/>
  <c r="K10" i="30"/>
  <c r="H10" i="30" s="1"/>
  <c r="I9" i="52"/>
  <c r="I13" i="63"/>
  <c r="H9" i="63"/>
  <c r="J12" i="142"/>
  <c r="M13" i="142"/>
  <c r="M12" i="142" s="1"/>
  <c r="C69" i="142" s="1"/>
  <c r="J9" i="142"/>
  <c r="O9" i="43"/>
  <c r="L9" i="43" s="1"/>
  <c r="K13" i="134"/>
  <c r="K9" i="134" s="1"/>
  <c r="L15" i="134"/>
  <c r="L13" i="134" s="1"/>
  <c r="L9" i="134" s="1"/>
  <c r="I9" i="134" s="1"/>
  <c r="H9" i="166"/>
  <c r="I13" i="166"/>
  <c r="M9" i="136"/>
  <c r="M9" i="156"/>
  <c r="M9" i="157"/>
  <c r="L9" i="157" s="1"/>
  <c r="M14" i="3"/>
  <c r="K12" i="3"/>
  <c r="K13" i="51"/>
  <c r="H13" i="51" s="1"/>
  <c r="K10" i="51"/>
  <c r="H10" i="51" s="1"/>
  <c r="M131" i="2"/>
  <c r="O133" i="2"/>
  <c r="O131" i="2" s="1"/>
  <c r="N133" i="2"/>
  <c r="N131" i="2" s="1"/>
  <c r="H10" i="153"/>
  <c r="E161" i="171"/>
  <c r="J14" i="2" s="1"/>
  <c r="K14" i="2" s="1"/>
  <c r="E338" i="171"/>
  <c r="E150" i="171"/>
  <c r="E191" i="171"/>
  <c r="E151" i="171"/>
  <c r="E176" i="171"/>
  <c r="E164" i="171"/>
  <c r="E201" i="171"/>
  <c r="E274" i="171"/>
  <c r="E317" i="171"/>
  <c r="E188" i="171"/>
  <c r="E204" i="171"/>
  <c r="E365" i="171"/>
  <c r="E236" i="171"/>
  <c r="E331" i="171"/>
  <c r="E221" i="171"/>
  <c r="E267" i="171"/>
  <c r="E360" i="171"/>
  <c r="E273" i="171"/>
  <c r="E346" i="171"/>
  <c r="E240" i="171"/>
  <c r="E319" i="171"/>
  <c r="E212" i="171"/>
  <c r="E231" i="171"/>
  <c r="E295" i="171"/>
  <c r="E347" i="171"/>
  <c r="E246" i="171"/>
  <c r="E322" i="171"/>
  <c r="E299" i="171"/>
  <c r="E575" i="171"/>
  <c r="E609" i="171"/>
  <c r="E574" i="171"/>
  <c r="E581" i="171"/>
  <c r="E591" i="171"/>
  <c r="E606" i="171"/>
  <c r="O178" i="2"/>
  <c r="N178" i="2"/>
  <c r="O9" i="54"/>
  <c r="L9" i="54" s="1"/>
  <c r="O9" i="74"/>
  <c r="L9" i="74" s="1"/>
  <c r="N48" i="3"/>
  <c r="N46" i="3" s="1"/>
  <c r="M46" i="3"/>
  <c r="O48" i="3"/>
  <c r="O46" i="3" s="1"/>
  <c r="H9" i="22"/>
  <c r="I13" i="22"/>
  <c r="R3" i="57"/>
  <c r="V5" i="57" s="1"/>
  <c r="R3" i="107"/>
  <c r="V5" i="107" s="1"/>
  <c r="I13" i="135"/>
  <c r="H9" i="135"/>
  <c r="H9" i="155"/>
  <c r="I13" i="155"/>
  <c r="K13" i="41"/>
  <c r="K9" i="41" s="1"/>
  <c r="L15" i="41"/>
  <c r="L13" i="41" s="1"/>
  <c r="L9" i="41" s="1"/>
  <c r="I9" i="41" s="1"/>
  <c r="K10" i="71"/>
  <c r="H10" i="71" s="1"/>
  <c r="K13" i="71"/>
  <c r="H13" i="71" s="1"/>
  <c r="E386" i="171"/>
  <c r="J9" i="22"/>
  <c r="K13" i="31"/>
  <c r="K9" i="31" s="1"/>
  <c r="L15" i="31"/>
  <c r="L13" i="31" s="1"/>
  <c r="K10" i="40"/>
  <c r="H10" i="40" s="1"/>
  <c r="K13" i="40"/>
  <c r="H13" i="40" s="1"/>
  <c r="N9" i="74"/>
  <c r="J9" i="79"/>
  <c r="J12" i="79"/>
  <c r="K13" i="92"/>
  <c r="H13" i="92" s="1"/>
  <c r="K10" i="92"/>
  <c r="H10" i="92" s="1"/>
  <c r="E413" i="171"/>
  <c r="E411" i="171"/>
  <c r="E399" i="171"/>
  <c r="E409" i="171"/>
  <c r="C72" i="9"/>
  <c r="N9" i="24"/>
  <c r="J12" i="59"/>
  <c r="J9" i="59"/>
  <c r="R3" i="119"/>
  <c r="V5" i="119" s="1"/>
  <c r="E521" i="171"/>
  <c r="E501" i="171"/>
  <c r="E11" i="171"/>
  <c r="E35" i="171"/>
  <c r="E20" i="171"/>
  <c r="E85" i="171"/>
  <c r="E16" i="171"/>
  <c r="E3" i="171"/>
  <c r="E44" i="171"/>
  <c r="E7" i="171"/>
  <c r="E71" i="171"/>
  <c r="E34" i="171"/>
  <c r="E93" i="171"/>
  <c r="E101" i="171"/>
  <c r="E109" i="171"/>
  <c r="E117" i="171"/>
  <c r="E125" i="171"/>
  <c r="E57" i="171"/>
  <c r="E54" i="171"/>
  <c r="E636" i="171"/>
  <c r="E664" i="171"/>
  <c r="E628" i="171"/>
  <c r="E647" i="171"/>
  <c r="E653" i="171"/>
  <c r="E658" i="171"/>
  <c r="E487" i="171"/>
  <c r="E509" i="171"/>
  <c r="E389" i="171"/>
  <c r="O22" i="2" l="1"/>
  <c r="N22" i="2"/>
  <c r="O31" i="3"/>
  <c r="O29" i="3" s="1"/>
  <c r="N31" i="3"/>
  <c r="N29" i="3" s="1"/>
  <c r="M29" i="3"/>
  <c r="M46" i="2"/>
  <c r="O48" i="2"/>
  <c r="O46" i="2" s="1"/>
  <c r="N48" i="2"/>
  <c r="N46" i="2" s="1"/>
  <c r="L9" i="165"/>
  <c r="I9" i="165" s="1"/>
  <c r="I13" i="165"/>
  <c r="I13" i="134"/>
  <c r="L9" i="144"/>
  <c r="I9" i="144" s="1"/>
  <c r="I13" i="144"/>
  <c r="M80" i="2"/>
  <c r="O82" i="2"/>
  <c r="O80" i="2" s="1"/>
  <c r="N82" i="2"/>
  <c r="N80" i="2" s="1"/>
  <c r="L9" i="31"/>
  <c r="I9" i="31" s="1"/>
  <c r="I13" i="31"/>
  <c r="K9" i="3"/>
  <c r="D3" i="174" s="1"/>
  <c r="D8" i="174" s="1"/>
  <c r="S17" i="1" s="1"/>
  <c r="L9" i="113"/>
  <c r="I9" i="113" s="1"/>
  <c r="I13" i="113"/>
  <c r="I13" i="82"/>
  <c r="N148" i="2"/>
  <c r="I13" i="154"/>
  <c r="N167" i="2"/>
  <c r="N165" i="2" s="1"/>
  <c r="M165" i="2"/>
  <c r="O167" i="2"/>
  <c r="O165" i="2" s="1"/>
  <c r="K12" i="2"/>
  <c r="M14" i="2"/>
  <c r="O14" i="3"/>
  <c r="O12" i="3" s="1"/>
  <c r="O9" i="3" s="1"/>
  <c r="N14" i="3"/>
  <c r="N12" i="3" s="1"/>
  <c r="N9" i="3" s="1"/>
  <c r="C3" i="174" s="1"/>
  <c r="C8" i="174" s="1"/>
  <c r="T17" i="1" s="1"/>
  <c r="M12" i="3"/>
  <c r="M9" i="3" s="1"/>
  <c r="I9" i="22"/>
  <c r="O148" i="2"/>
  <c r="N99" i="2"/>
  <c r="N97" i="2" s="1"/>
  <c r="M97" i="2"/>
  <c r="O99" i="2"/>
  <c r="O97" i="2" s="1"/>
  <c r="I13" i="21"/>
  <c r="L12" i="3" l="1"/>
  <c r="U17" i="1"/>
  <c r="L9" i="3"/>
  <c r="N14" i="2"/>
  <c r="N12" i="2" s="1"/>
  <c r="N9" i="2" s="1"/>
  <c r="C2" i="174" s="1"/>
  <c r="C7" i="174" s="1"/>
  <c r="O14" i="2"/>
  <c r="O12" i="2" s="1"/>
  <c r="O9" i="2" s="1"/>
  <c r="M12" i="2"/>
  <c r="M9" i="2" s="1"/>
  <c r="K9" i="2"/>
  <c r="D2" i="174" s="1"/>
  <c r="D7" i="174" s="1"/>
  <c r="L12" i="2" l="1"/>
  <c r="D15" i="174"/>
  <c r="S16" i="1"/>
  <c r="S28" i="1" s="1"/>
  <c r="L9" i="2"/>
  <c r="C15" i="174"/>
  <c r="T16" i="1"/>
  <c r="T28" i="1" l="1"/>
  <c r="U28" i="1" s="1"/>
  <c r="U1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00000000-0006-0000-A900-000001000000}">
      <text>
        <r>
          <rPr>
            <sz val="10"/>
            <rFont val="Arial"/>
            <family val="2"/>
          </rPr>
          <t xml:space="preserve">Simon Still:
1/2inch single tap wall mounted c/w 24inch dbl swing </t>
        </r>
      </text>
    </comment>
  </commentList>
</comments>
</file>

<file path=xl/sharedStrings.xml><?xml version="1.0" encoding="utf-8"?>
<sst xmlns="http://schemas.openxmlformats.org/spreadsheetml/2006/main" count="21318" uniqueCount="1452">
  <si>
    <t>PROJECT TOTAL</t>
  </si>
  <si>
    <t>R19.2 COST SHEET</t>
  </si>
  <si>
    <t>Job No.</t>
  </si>
  <si>
    <t>36336</t>
  </si>
  <si>
    <t>Project Name</t>
  </si>
  <si>
    <t>Happy Valley</t>
  </si>
  <si>
    <t>Customer</t>
  </si>
  <si>
    <t>S2 Mechanical Services Ltd</t>
  </si>
  <si>
    <t>Location</t>
  </si>
  <si>
    <t>Reading</t>
  </si>
  <si>
    <t>Sales Manager / Estimator initials</t>
  </si>
  <si>
    <t>DG/SS</t>
  </si>
  <si>
    <t>Date</t>
  </si>
  <si>
    <t>08/07/2025</t>
  </si>
  <si>
    <t>Revision No</t>
  </si>
  <si>
    <t>CURRENCY</t>
  </si>
  <si>
    <t>%</t>
  </si>
  <si>
    <t>COMMISSION</t>
  </si>
  <si>
    <t>TOTAL COST</t>
  </si>
  <si>
    <t>GP</t>
  </si>
  <si>
    <t>Sell</t>
  </si>
  <si>
    <t>SELL</t>
  </si>
  <si>
    <t>PROFIT</t>
  </si>
  <si>
    <t>SECTION UNDER 1000mm</t>
  </si>
  <si>
    <t>CONTRACT</t>
  </si>
  <si>
    <t>Tab</t>
  </si>
  <si>
    <t>Cost</t>
  </si>
  <si>
    <t>CANOPIES</t>
  </si>
  <si>
    <t>SDU's</t>
  </si>
  <si>
    <t>Canopy</t>
  </si>
  <si>
    <t>POLLUSTOP</t>
  </si>
  <si>
    <t>Fire Suppression</t>
  </si>
  <si>
    <t>M.A.R.V.E.L.</t>
  </si>
  <si>
    <t>SDU</t>
  </si>
  <si>
    <t>VENTILATED CEILINGS</t>
  </si>
  <si>
    <t>Vent Clg</t>
  </si>
  <si>
    <t>CANOPY BESPOKE</t>
  </si>
  <si>
    <t>MARVEL</t>
  </si>
  <si>
    <t>ANSUL</t>
  </si>
  <si>
    <t>Edge</t>
  </si>
  <si>
    <t>SPARE</t>
  </si>
  <si>
    <t>Aerolys</t>
  </si>
  <si>
    <t>Pollustop</t>
  </si>
  <si>
    <t>Reco</t>
  </si>
  <si>
    <t>Reactaway</t>
  </si>
  <si>
    <t>Total</t>
  </si>
  <si>
    <t>Office Use Only</t>
  </si>
  <si>
    <t>Ground Floor - Main Kitchen</t>
  </si>
  <si>
    <t>JUN25-19</t>
  </si>
  <si>
    <t>R19.2 (CANOPY) COST SHEET</t>
  </si>
  <si>
    <t>RECO CANOPIES MUST HAVE COALESCERS</t>
  </si>
  <si>
    <t>GP SHOULD BE MINIMUM 44%</t>
  </si>
  <si>
    <t>COST</t>
  </si>
  <si>
    <t>1.01</t>
  </si>
  <si>
    <t>TYPE</t>
  </si>
  <si>
    <t>MODEL</t>
  </si>
  <si>
    <t>WIDTH</t>
  </si>
  <si>
    <t>LENGTH</t>
  </si>
  <si>
    <t>HEIGHT</t>
  </si>
  <si>
    <t>SECTIONS</t>
  </si>
  <si>
    <t>FLOW RATE</t>
  </si>
  <si>
    <t>CONFIGURATION</t>
  </si>
  <si>
    <t>WALL</t>
  </si>
  <si>
    <t>KVX</t>
  </si>
  <si>
    <t>LIGHTS</t>
  </si>
  <si>
    <t>LIGHT SELECTION</t>
  </si>
  <si>
    <t>SPECIAL WORKS</t>
  </si>
  <si>
    <t>SELECT WORKS</t>
  </si>
  <si>
    <t>FIRE SUPPRESSION SYSTEM</t>
  </si>
  <si>
    <t>BIM/ REVIT per CANOPY</t>
  </si>
  <si>
    <t>always include</t>
  </si>
  <si>
    <t>WALL CLADDING</t>
  </si>
  <si>
    <t>SELECT CLADDING</t>
  </si>
  <si>
    <t>Ex-works, supply only, delivery extra</t>
  </si>
  <si>
    <t>Width (mm)</t>
  </si>
  <si>
    <t>Height (mm)</t>
  </si>
  <si>
    <t>Position</t>
  </si>
  <si>
    <t>INFILL PANEL</t>
  </si>
  <si>
    <t>m²</t>
  </si>
  <si>
    <t xml:space="preserve">Up to 500mm high only. </t>
  </si>
  <si>
    <t>CRATING</t>
  </si>
  <si>
    <t>m³</t>
  </si>
  <si>
    <t>GREASE FILTERS</t>
  </si>
  <si>
    <t>PSU / JUNCTION BOX</t>
  </si>
  <si>
    <t>SELECT PANEL</t>
  </si>
  <si>
    <t xml:space="preserve">SELECT W/W PODS </t>
  </si>
  <si>
    <t xml:space="preserve">ITEM </t>
  </si>
  <si>
    <t>CANOPY TYPE</t>
  </si>
  <si>
    <t xml:space="preserve">DELIVERY &amp; INSTALLATION </t>
  </si>
  <si>
    <t>DELIVERY 1 x 7.5T TAIL LIFT 3200KGS</t>
  </si>
  <si>
    <t>READING 88</t>
  </si>
  <si>
    <t xml:space="preserve">CHECK SIZE OF LOAD BEFORE ENTERING QUANTITY </t>
  </si>
  <si>
    <t xml:space="preserve">PLANT HIRE </t>
  </si>
  <si>
    <t>PLANT SELECTION (weekly)</t>
  </si>
  <si>
    <t>Install of 6no Pieces of Canopy Max</t>
  </si>
  <si>
    <t>SELECT LOCATION…</t>
  </si>
  <si>
    <t>STRIP OUT</t>
  </si>
  <si>
    <t>PER DAY</t>
  </si>
  <si>
    <t>CONSUMABLES  15(P) + 19(H)</t>
  </si>
  <si>
    <t>PER METER OF CANOPY</t>
  </si>
  <si>
    <t>INSTALLATION NORMAL HOURS</t>
  </si>
  <si>
    <t>2 Pieces = 1 Day, 4 Pieces = 1.5 Days, 6 Pieces = 2 Days, 8 Pieces = 2.5 Days (1 Section up to 3m long equals 2 Pieces) + logistics</t>
  </si>
  <si>
    <t>INSTALLATION AFTER HOURS</t>
  </si>
  <si>
    <t>WALL CLADDING INSTALLATION</t>
  </si>
  <si>
    <t>6M PER DAY</t>
  </si>
  <si>
    <t>OVERNIGHT/ TRAVEL EXPENSES</t>
  </si>
  <si>
    <t>PER NIGHT PER TEAM</t>
  </si>
  <si>
    <t>TEST &amp; COMMISSION</t>
  </si>
  <si>
    <t>ONE Engineer,  1 day per 4no UV or W/W Sections of Canopy</t>
  </si>
  <si>
    <t>GAS INTERLOCK (INSTALLED)</t>
  </si>
  <si>
    <t>MERLIN CT1750 (INCLUDES PRESSURE SWITCH)</t>
  </si>
  <si>
    <t>CO SENSOR (SOLID FUEL)</t>
  </si>
  <si>
    <t>MERLIN CH4CO (ELE-683) CARBON MONOXIDE MONITOR</t>
  </si>
  <si>
    <t>CO2 SENSOR (DCKV)</t>
  </si>
  <si>
    <t>MERLIN CO CABON DIOXIDE MONITOR</t>
  </si>
  <si>
    <t>BMS FAULT INTERFACE</t>
  </si>
  <si>
    <t>OPTIONAL ITEM Add to all Canary Wharf Projects</t>
  </si>
  <si>
    <t>Installation cost assumes each pair has their own alps &amp; step ladders</t>
  </si>
  <si>
    <t>Waterwash control panel does not include for a Touchscreen, if required it needs to be added as an option</t>
  </si>
  <si>
    <t>ROUND CORNERS</t>
  </si>
  <si>
    <t>CUT OUT</t>
  </si>
  <si>
    <t xml:space="preserve">CASTELLE LOCKING </t>
  </si>
  <si>
    <t>HEADER DUCT S/S</t>
  </si>
  <si>
    <t>HEADER DUCT</t>
  </si>
  <si>
    <t>PAINT FINSH</t>
  </si>
  <si>
    <t>UV ON DEMAND</t>
  </si>
  <si>
    <t>E/over for emergency strip light</t>
  </si>
  <si>
    <t>E/over for small emer. spot light</t>
  </si>
  <si>
    <t>E/over for large emer. spot light</t>
  </si>
  <si>
    <t>COLD MIST ON DEMAND</t>
  </si>
  <si>
    <t>CMW PIPEWORK HWS/CWS</t>
  </si>
  <si>
    <t>CANOPY GROUND SUPPORT</t>
  </si>
  <si>
    <t>2nd EXTRACT PLENUM</t>
  </si>
  <si>
    <t>SUPPLY AIR PLENUM</t>
  </si>
  <si>
    <t>CAPTUREJET PLENUM</t>
  </si>
  <si>
    <t>COALESCER</t>
  </si>
  <si>
    <t>Select...</t>
  </si>
  <si>
    <t>ABERDEEN 590</t>
  </si>
  <si>
    <t>ABINGDON 110</t>
  </si>
  <si>
    <t>ALDEBURGH 112</t>
  </si>
  <si>
    <t>ALDERSHOT 110</t>
  </si>
  <si>
    <t>ALNWICK 342</t>
  </si>
  <si>
    <t>ANDOVER 110</t>
  </si>
  <si>
    <t>ASHFORD 25</t>
  </si>
  <si>
    <t>AYLESBURY 86</t>
  </si>
  <si>
    <t>BANBURY 102</t>
  </si>
  <si>
    <t>BANGOR 324</t>
  </si>
  <si>
    <t>BARKING 32</t>
  </si>
  <si>
    <t>BARNET 55</t>
  </si>
  <si>
    <t>BARNSLEY 209</t>
  </si>
  <si>
    <t>BARNSTABLE 227</t>
  </si>
  <si>
    <t>BARROW-IN-FURNESS 348</t>
  </si>
  <si>
    <t>BASILDON 38</t>
  </si>
  <si>
    <t>BASINGSTOKE 82</t>
  </si>
  <si>
    <t>BATH 154</t>
  </si>
  <si>
    <t>BEDFORD 103</t>
  </si>
  <si>
    <t>BERWICK-UPON-TWEED 371</t>
  </si>
  <si>
    <t>BILLERICAY 37</t>
  </si>
  <si>
    <t>BIRKENHEAD 277</t>
  </si>
  <si>
    <t>BIRMINGHAM 168</t>
  </si>
  <si>
    <t>BLACKBURN 283</t>
  </si>
  <si>
    <t>BLACKPOOL 289</t>
  </si>
  <si>
    <t>BLANDFORD FORUM 144</t>
  </si>
  <si>
    <t>BODMIN 273</t>
  </si>
  <si>
    <t>BOGNOR REGIS 88</t>
  </si>
  <si>
    <t>BOLTON 259</t>
  </si>
  <si>
    <t>BOOTLE 272</t>
  </si>
  <si>
    <t>BOURNEMOUTH 140</t>
  </si>
  <si>
    <t>BRADFORD 234</t>
  </si>
  <si>
    <t>BRAINTREE 60</t>
  </si>
  <si>
    <t>BRIDGEND 205</t>
  </si>
  <si>
    <t>BRIDLINGTON 244</t>
  </si>
  <si>
    <t>BRIGHTON 68</t>
  </si>
  <si>
    <t>BRISTOL 157</t>
  </si>
  <si>
    <t>BUCKINGHAMSHIRE 109</t>
  </si>
  <si>
    <t>BURNLEY 296</t>
  </si>
  <si>
    <t>BURTON UPON TRENT 175</t>
  </si>
  <si>
    <t>BURY ST EDMUNDS 98</t>
  </si>
  <si>
    <t>CAMBRIDGE 85</t>
  </si>
  <si>
    <t>CANNOCK 175</t>
  </si>
  <si>
    <t>CANTERBURY 30</t>
  </si>
  <si>
    <t>CARDIFF 192</t>
  </si>
  <si>
    <t>CARLISLE 356</t>
  </si>
  <si>
    <t>CARMARTHEN 252</t>
  </si>
  <si>
    <t>CHELTENHAM 148</t>
  </si>
  <si>
    <t>CHESTER 268</t>
  </si>
  <si>
    <t>COVENTRY 146</t>
  </si>
  <si>
    <t>CHIPPENHAM 136</t>
  </si>
  <si>
    <t>COLCHESTER 78</t>
  </si>
  <si>
    <t>CORBY 128</t>
  </si>
  <si>
    <t>DARTMOUTH 245</t>
  </si>
  <si>
    <t>DERBY 178</t>
  </si>
  <si>
    <t>DONCASTER 203</t>
  </si>
  <si>
    <t>DORCHESTER 160</t>
  </si>
  <si>
    <t>DORKING 46</t>
  </si>
  <si>
    <t>DOVER 45</t>
  </si>
  <si>
    <t>DURHAM 299</t>
  </si>
  <si>
    <t>EASTBOURNE 57</t>
  </si>
  <si>
    <t>EASTLEIGH 109</t>
  </si>
  <si>
    <t>EDINBURGH 428</t>
  </si>
  <si>
    <t>ENFIELD 49</t>
  </si>
  <si>
    <t>EXETER 205</t>
  </si>
  <si>
    <t>EXMOUTH 207</t>
  </si>
  <si>
    <t>FELIXSTOWE 103</t>
  </si>
  <si>
    <t>GATWICK 44</t>
  </si>
  <si>
    <t>GLASGOW 456</t>
  </si>
  <si>
    <t>GLASTONBURY 164</t>
  </si>
  <si>
    <t>GLOUCESTER 151</t>
  </si>
  <si>
    <t>GRANTHAM 143</t>
  </si>
  <si>
    <t>GREAT YARMOUTH 147</t>
  </si>
  <si>
    <t>GRIMSBY 215</t>
  </si>
  <si>
    <t>GUILDFORD 59</t>
  </si>
  <si>
    <t>HARLOW 47</t>
  </si>
  <si>
    <t>HARROGATE 236</t>
  </si>
  <si>
    <t>HARTLEPOOL 286</t>
  </si>
  <si>
    <t>HASTINGS 40</t>
  </si>
  <si>
    <t>HEXHAM 325</t>
  </si>
  <si>
    <t>HEREFORD 184</t>
  </si>
  <si>
    <t>HIGH WYCOMBE 80</t>
  </si>
  <si>
    <t>HIGHBRIDGE 187</t>
  </si>
  <si>
    <t>HONITON 190</t>
  </si>
  <si>
    <t>HORSHAM 55</t>
  </si>
  <si>
    <t>HOUNSLOW 55</t>
  </si>
  <si>
    <t>HUDDERSFIELD 239</t>
  </si>
  <si>
    <t>HULL 247</t>
  </si>
  <si>
    <t>HUNTINGDON 94</t>
  </si>
  <si>
    <t>INVERNESS 619</t>
  </si>
  <si>
    <t>IPSWICH 94</t>
  </si>
  <si>
    <t>IRELAND</t>
  </si>
  <si>
    <t>KENDAL 321</t>
  </si>
  <si>
    <t>KETTERING 127</t>
  </si>
  <si>
    <t>KIDDERMINSTER 179</t>
  </si>
  <si>
    <t>KILMARNOCK 449</t>
  </si>
  <si>
    <t>KINGSTON UPON HULL 220</t>
  </si>
  <si>
    <t>KINGSTON UPON THAMES 52</t>
  </si>
  <si>
    <t>LANCASTER 290</t>
  </si>
  <si>
    <t>LAUNCESTON 251</t>
  </si>
  <si>
    <t>LEAMINGTON SPA 146</t>
  </si>
  <si>
    <t>LEEDS 231</t>
  </si>
  <si>
    <t>LEICESTER 151</t>
  </si>
  <si>
    <t>LEIGH ON SEA 45</t>
  </si>
  <si>
    <t>LEWISHAM 29</t>
  </si>
  <si>
    <t>LINCOLN 179</t>
  </si>
  <si>
    <t>LIVERPOOL 258</t>
  </si>
  <si>
    <t>LLANDUDNO 309</t>
  </si>
  <si>
    <t>LONDON in FORS GOLD(varies)</t>
  </si>
  <si>
    <t>LUTON 80</t>
  </si>
  <si>
    <t>MABLETHORPE 182</t>
  </si>
  <si>
    <t>MACCLESFIELD 244</t>
  </si>
  <si>
    <t>MANCHESTER 251</t>
  </si>
  <si>
    <t>MARGATE 46</t>
  </si>
  <si>
    <t>MIDDLESBROUGH 286</t>
  </si>
  <si>
    <t>MILFORD HAVEN 289</t>
  </si>
  <si>
    <t>MILTON KEYNES 101</t>
  </si>
  <si>
    <t>MORPETH 327</t>
  </si>
  <si>
    <t>NANTWICH 232</t>
  </si>
  <si>
    <t>NEWBURY 101</t>
  </si>
  <si>
    <t>NEWCASTLE 308</t>
  </si>
  <si>
    <t>NEWPORT 178</t>
  </si>
  <si>
    <t>NEWQUAY 178</t>
  </si>
  <si>
    <t>NORTHAMPTON 116</t>
  </si>
  <si>
    <t>NORTHUMBERLAND 341</t>
  </si>
  <si>
    <t>NORWICH 136</t>
  </si>
  <si>
    <t>NOTTINGHAM 177</t>
  </si>
  <si>
    <t>OKEHAMPTON 232</t>
  </si>
  <si>
    <t>OXFORD 106</t>
  </si>
  <si>
    <t>PENRITH 316</t>
  </si>
  <si>
    <t>PENZANCE 318</t>
  </si>
  <si>
    <t>PERTH 477</t>
  </si>
  <si>
    <t>PETERBOROUGH 124</t>
  </si>
  <si>
    <t>PETERSFIELD 87</t>
  </si>
  <si>
    <t>PETWORTH 71</t>
  </si>
  <si>
    <t>PLYMOUTH 247</t>
  </si>
  <si>
    <t>PONTEFRACT 221</t>
  </si>
  <si>
    <t>POOLE 144</t>
  </si>
  <si>
    <t>PORTSMOUTH 102</t>
  </si>
  <si>
    <t>REIGATE 39</t>
  </si>
  <si>
    <t>RINGWOOD 130</t>
  </si>
  <si>
    <t>ROSS-ON-WYE 171</t>
  </si>
  <si>
    <t>ROTHERHAM 203</t>
  </si>
  <si>
    <t>SALISBURY 120</t>
  </si>
  <si>
    <t>SCARBOROUGH 277</t>
  </si>
  <si>
    <t>SCUNTHORPE 204</t>
  </si>
  <si>
    <t>SHEFFIELD 205</t>
  </si>
  <si>
    <t>SHREWSBURY 207</t>
  </si>
  <si>
    <t>SHROPSHIRE 218</t>
  </si>
  <si>
    <t>SLOUGH 72</t>
  </si>
  <si>
    <t>SOUTH SHIELDS 310</t>
  </si>
  <si>
    <t>SOUTHAMPTON 112</t>
  </si>
  <si>
    <t>SOUTHEND 52</t>
  </si>
  <si>
    <t>SOUTHPORT 279</t>
  </si>
  <si>
    <t>SPALDING 143</t>
  </si>
  <si>
    <t>ST ALBANS 62</t>
  </si>
  <si>
    <t>ST IVES 317</t>
  </si>
  <si>
    <t>STAFFORD 187</t>
  </si>
  <si>
    <t>STAINES 61</t>
  </si>
  <si>
    <t>STEVENAGE 72</t>
  </si>
  <si>
    <t>STIRLING 445</t>
  </si>
  <si>
    <t>STOCKPORT 257</t>
  </si>
  <si>
    <t>STOCKTON 278</t>
  </si>
  <si>
    <t>STOKE-ON-TRENT 205</t>
  </si>
  <si>
    <t>STRATFORD UPON AVON 151</t>
  </si>
  <si>
    <t>SUNDERLAND 309</t>
  </si>
  <si>
    <t>SWINDON 121</t>
  </si>
  <si>
    <t>TAMWORTH 180</t>
  </si>
  <si>
    <t>TAUNTON 185</t>
  </si>
  <si>
    <t>TELFORD 193</t>
  </si>
  <si>
    <t>TILBURY 34</t>
  </si>
  <si>
    <t>TORQUAY 227</t>
  </si>
  <si>
    <t>TUNBRIDGE WELLS 26</t>
  </si>
  <si>
    <t>UXBRIDGE 74</t>
  </si>
  <si>
    <t>WAKEFIELD 214</t>
  </si>
  <si>
    <t>WARMISTER 137</t>
  </si>
  <si>
    <t>WARWICK 148</t>
  </si>
  <si>
    <t>WATFORD 67</t>
  </si>
  <si>
    <t>WELSHPOOL 238</t>
  </si>
  <si>
    <t>WEMBLEY 55</t>
  </si>
  <si>
    <t>WEYMOUTH 173</t>
  </si>
  <si>
    <t>WHITBY 282</t>
  </si>
  <si>
    <t>WIGAN 252</t>
  </si>
  <si>
    <t>WINCANTON 149</t>
  </si>
  <si>
    <t>WINCHESTER 100</t>
  </si>
  <si>
    <t>WOKING 60</t>
  </si>
  <si>
    <t>WOLVERHAMPTON 175</t>
  </si>
  <si>
    <t>WORCESTER 160</t>
  </si>
  <si>
    <t>WREXHAM 250</t>
  </si>
  <si>
    <t>YEOVIL 163</t>
  </si>
  <si>
    <t>YORK 243</t>
  </si>
  <si>
    <t>Ground Floor - Main Kitchen - FIRE SUPPRESSION</t>
  </si>
  <si>
    <t>R19.2 (FIRE SUPPRESSION) COST SHEET</t>
  </si>
  <si>
    <t xml:space="preserve">FIRE SUPPRESSION </t>
  </si>
  <si>
    <t>FIRE SUPPRESSION</t>
  </si>
  <si>
    <t>TANK INSTALL</t>
  </si>
  <si>
    <t>ITEM</t>
  </si>
  <si>
    <t>OR 2.5% OF TOTAL CONTRACT VALUE</t>
  </si>
  <si>
    <t>PECO LIFT</t>
  </si>
  <si>
    <t>ALWAYS INCLUDE</t>
  </si>
  <si>
    <t>ANSUL DELIVERY</t>
  </si>
  <si>
    <t>0.5 Per Area/System</t>
  </si>
  <si>
    <t xml:space="preserve">INDUCTION </t>
  </si>
  <si>
    <t>PER PROJECT</t>
  </si>
  <si>
    <t>LIVE SITE TEST</t>
  </si>
  <si>
    <t>INCLUDE FOR ANSUL BUT SHOWN AS A LINE ITEM FOR AMEREX</t>
  </si>
  <si>
    <t>JEM's ADHOC DAY RATE</t>
  </si>
  <si>
    <t>ONE Engineer,  2 days per Pollustop,1 days per 3no UV &amp; W/W canopies</t>
  </si>
  <si>
    <t>1 TANK SYSTEM</t>
  </si>
  <si>
    <t>1 TANK TRAVEL HUB</t>
  </si>
  <si>
    <t>1 TANK DISTANCE</t>
  </si>
  <si>
    <t>NOBEL</t>
  </si>
  <si>
    <t>AMAREX</t>
  </si>
  <si>
    <t>OTHER</t>
  </si>
  <si>
    <t>2 TANK SYSTEM</t>
  </si>
  <si>
    <t>2 TANK TRAVEL HUB</t>
  </si>
  <si>
    <t>2 TANK DISTANCE</t>
  </si>
  <si>
    <t>3 TANK SYSTEM</t>
  </si>
  <si>
    <t>3 TANK TRAVEL HUB</t>
  </si>
  <si>
    <t>3 TANK DISTANCE</t>
  </si>
  <si>
    <t>4 TANK SYSTEM</t>
  </si>
  <si>
    <t>4 TANK TRAVEL HUB</t>
  </si>
  <si>
    <t>4 TANK DISTANCE</t>
  </si>
  <si>
    <t>5 TANK SYSTEM</t>
  </si>
  <si>
    <t>5 TANK TRAVEL HUB</t>
  </si>
  <si>
    <t>5 TANK DISTANCE</t>
  </si>
  <si>
    <t>6 TANK SYSTEM</t>
  </si>
  <si>
    <t>6 TANK TRAVEL HUB</t>
  </si>
  <si>
    <t>6 TANK DISTANCE</t>
  </si>
  <si>
    <t xml:space="preserve">GALVANISED SUPPLY DUCTWORK COSTS </t>
  </si>
  <si>
    <t xml:space="preserve">PROJECT                                                                                       </t>
  </si>
  <si>
    <t>REF</t>
  </si>
  <si>
    <t>TOTAL</t>
  </si>
  <si>
    <t>COST Inc. PRICE INCREASE</t>
  </si>
  <si>
    <t>Courtesy AIRTRACE NOV 2016  -  No change in price NOV 2018</t>
  </si>
  <si>
    <t>DATE</t>
  </si>
  <si>
    <t>ALL COSTS</t>
  </si>
  <si>
    <t>Size</t>
  </si>
  <si>
    <t>No. Off</t>
  </si>
  <si>
    <t>100 DIA</t>
  </si>
  <si>
    <t>125 DIA</t>
  </si>
  <si>
    <t>150 DIA</t>
  </si>
  <si>
    <t>200 DIA</t>
  </si>
  <si>
    <t>250 DIA</t>
  </si>
  <si>
    <t>315 DIA</t>
  </si>
  <si>
    <t>Coupler</t>
  </si>
  <si>
    <t>3.0m Sraight</t>
  </si>
  <si>
    <t>90 Rad Bend</t>
  </si>
  <si>
    <t>45 Bend</t>
  </si>
  <si>
    <t>Flat Shoe</t>
  </si>
  <si>
    <t>Spigot</t>
  </si>
  <si>
    <t>Cap End</t>
  </si>
  <si>
    <t>Split Ring</t>
  </si>
  <si>
    <t>VCD</t>
  </si>
  <si>
    <t>Twin Bend</t>
  </si>
  <si>
    <t>Taper</t>
  </si>
  <si>
    <t>Pressed Saddle</t>
  </si>
  <si>
    <t>Flex. 10M</t>
  </si>
  <si>
    <t>Ins. Flex 10M</t>
  </si>
  <si>
    <t>Access Door</t>
  </si>
  <si>
    <t>S/TOTAL</t>
  </si>
  <si>
    <t>355 DIA</t>
  </si>
  <si>
    <t>400DIA</t>
  </si>
  <si>
    <t>450 DIA</t>
  </si>
  <si>
    <t>500 DIA</t>
  </si>
  <si>
    <t>560 DIA</t>
  </si>
  <si>
    <t>600 DIA</t>
  </si>
  <si>
    <t>200x200</t>
  </si>
  <si>
    <t>250x250</t>
  </si>
  <si>
    <t>300x300</t>
  </si>
  <si>
    <t>350x350</t>
  </si>
  <si>
    <t>400x400</t>
  </si>
  <si>
    <t>450x450</t>
  </si>
  <si>
    <t>1.5m Sraight</t>
  </si>
  <si>
    <t>90 Sq Bend</t>
  </si>
  <si>
    <t>Rad Tee</t>
  </si>
  <si>
    <t>Square Tee</t>
  </si>
  <si>
    <t>Taper 0.8m</t>
  </si>
  <si>
    <t>Offset 0.8m</t>
  </si>
  <si>
    <t>Sq to Round</t>
  </si>
  <si>
    <t>Shoe</t>
  </si>
  <si>
    <t>Blank End</t>
  </si>
  <si>
    <t>Grille Box</t>
  </si>
  <si>
    <t>Flange</t>
  </si>
  <si>
    <t xml:space="preserve">Supports </t>
  </si>
  <si>
    <t>500x500</t>
  </si>
  <si>
    <t>550x550</t>
  </si>
  <si>
    <t>600x600</t>
  </si>
  <si>
    <t>650x650</t>
  </si>
  <si>
    <t>700x700</t>
  </si>
  <si>
    <t>750x750</t>
  </si>
  <si>
    <t>Supports</t>
  </si>
  <si>
    <t>800x800</t>
  </si>
  <si>
    <t>850x850</t>
  </si>
  <si>
    <t>900x900</t>
  </si>
  <si>
    <t>950x950</t>
  </si>
  <si>
    <t>1000x1000</t>
  </si>
  <si>
    <t>1050x1050</t>
  </si>
  <si>
    <t>1100x1100</t>
  </si>
  <si>
    <t>1150x1150</t>
  </si>
  <si>
    <t>1200x1200</t>
  </si>
  <si>
    <t>1250x1250</t>
  </si>
  <si>
    <t>1300x1300</t>
  </si>
  <si>
    <t>1350x1350</t>
  </si>
  <si>
    <t>1400x1400</t>
  </si>
  <si>
    <t>1450x1450</t>
  </si>
  <si>
    <t xml:space="preserve">GALVANISED EXTRACT DUCTWORK COSTS </t>
  </si>
  <si>
    <t>F24-19.2   AHU TESTING COST SHEET</t>
  </si>
  <si>
    <t>UNDER CONSTRUCTION - WATCH THIS SPACE</t>
  </si>
  <si>
    <t>Job No</t>
  </si>
  <si>
    <t>GP SHOULD BE MINIMUM 30%</t>
  </si>
  <si>
    <t>TEST PROCEDURE</t>
  </si>
  <si>
    <t>DAYS</t>
  </si>
  <si>
    <t>LOCATION</t>
  </si>
  <si>
    <t>FAN &amp; AIRFLOW PER UNIT</t>
  </si>
  <si>
    <t>TEST EQUIPMENT</t>
  </si>
  <si>
    <t>FACTORY</t>
  </si>
  <si>
    <t>ENGINEER</t>
  </si>
  <si>
    <t>DUCTWORK</t>
  </si>
  <si>
    <t>FACTORY SPACE</t>
  </si>
  <si>
    <t>SITE</t>
  </si>
  <si>
    <t xml:space="preserve">PRESSURE  DROP PER MODULE </t>
  </si>
  <si>
    <t>CASING AIR LEAKAGE PER UNIT</t>
  </si>
  <si>
    <t>CAPPING PLATES</t>
  </si>
  <si>
    <t xml:space="preserve">FILTER BYPASS PER MODULE </t>
  </si>
  <si>
    <t>DELIVERY x 1.5 for multple loads</t>
  </si>
  <si>
    <t>PLANT HIRE</t>
  </si>
  <si>
    <t>3M TOWER</t>
  </si>
  <si>
    <t xml:space="preserve">CONSUMABLES </t>
  </si>
  <si>
    <t>5M PER TEAM PER DAY</t>
  </si>
  <si>
    <t>ACCOMODATION</t>
  </si>
  <si>
    <t>OVERNIGHT</t>
  </si>
  <si>
    <t>TRAVEL COSTS</t>
  </si>
  <si>
    <t>3 days for large systems.</t>
  </si>
  <si>
    <t>F24 - 19.2 CONTRACTING COST SHEET</t>
  </si>
  <si>
    <t>GUIDE PRICES ONLY - SUPPLIER QUOTATIONS TO BE OBTAINED WHENEVER POSSIBLE</t>
  </si>
  <si>
    <t>EXTRACT</t>
  </si>
  <si>
    <t>SUPPLY</t>
  </si>
  <si>
    <t>CONTROLS</t>
  </si>
  <si>
    <t>INSTALLATION</t>
  </si>
  <si>
    <t>CONTRACTING SCHEDULE</t>
  </si>
  <si>
    <t>QTY</t>
  </si>
  <si>
    <t>SIZE</t>
  </si>
  <si>
    <t xml:space="preserve">EXTRACT FAN AND ANCILLARIES </t>
  </si>
  <si>
    <t>EXTRACT FANS SIZE</t>
  </si>
  <si>
    <t>ATTENUATORS (Melinex lined)</t>
  </si>
  <si>
    <t>ATTENUATORS (EXTRACT)</t>
  </si>
  <si>
    <t>EXTRACT DUCT</t>
  </si>
  <si>
    <t>FIRE RATED DUCTWORK</t>
  </si>
  <si>
    <t>ACCESS DOORS</t>
  </si>
  <si>
    <t>LOUVRES</t>
  </si>
  <si>
    <t>RECO AIR UNIT</t>
  </si>
  <si>
    <t>SPARE PART</t>
  </si>
  <si>
    <t xml:space="preserve">SUPPLY FAN AND ANCILLARIES </t>
  </si>
  <si>
    <t>SUPPLY FANS SIZE</t>
  </si>
  <si>
    <t>ATTENUATORS</t>
  </si>
  <si>
    <t>ATTENUATORS (SUPPLY)</t>
  </si>
  <si>
    <t>HEATER</t>
  </si>
  <si>
    <t>Electric heater inc controls</t>
  </si>
  <si>
    <t>FRESH AIR FILTERS</t>
  </si>
  <si>
    <t>SUPPLY AIR DUCT</t>
  </si>
  <si>
    <t>INSULATION</t>
  </si>
  <si>
    <t>GRILLES/DIFFUSERS</t>
  </si>
  <si>
    <t>FIRE DAMPERS</t>
  </si>
  <si>
    <t>SPIRAL &amp; FLEX</t>
  </si>
  <si>
    <t>GAS INTERLOCK</t>
  </si>
  <si>
    <t>MERLIN  CT1750 (INC PRESSURE SWITCH)</t>
  </si>
  <si>
    <t>CO SENSOR</t>
  </si>
  <si>
    <t>MERLIN CH4CO</t>
  </si>
  <si>
    <t>MERLIN CO</t>
  </si>
  <si>
    <t>CONTROL PANEL</t>
  </si>
  <si>
    <t>FIELD WIRING</t>
  </si>
  <si>
    <t>4M PER TEAM PER DAY</t>
  </si>
  <si>
    <t xml:space="preserve">EXTRACT SYSTEM </t>
  </si>
  <si>
    <t xml:space="preserve">SUPPLY SYSTEM </t>
  </si>
  <si>
    <t>F24-19.2    VENTILATED CEILING COST CEILING</t>
  </si>
  <si>
    <t>DISCOUNT</t>
  </si>
  <si>
    <t>VENTILATED CEILING</t>
  </si>
  <si>
    <t>DESCRIPTION</t>
  </si>
  <si>
    <t>CC100 / CC101</t>
  </si>
  <si>
    <t xml:space="preserve">PERIMETER CHANNEL (3M)  + PERIMETER WEDGE  </t>
  </si>
  <si>
    <t>CC102 / CC103 / CC1044</t>
  </si>
  <si>
    <t xml:space="preserve">PRIMARY MULLION (3M) + HANGING BRACKET + FISH PLATE </t>
  </si>
  <si>
    <t>CC106</t>
  </si>
  <si>
    <t>EXT CROSS MULLION</t>
  </si>
  <si>
    <t>PER M2 OF CEILING</t>
  </si>
  <si>
    <t>PASSIVE CEILING (ADD GREASE EXTRACT, SUPPLY AND LIGHT CASSETTES) PRICE PER SQ MTR</t>
  </si>
  <si>
    <t>CC200 / CC2001</t>
  </si>
  <si>
    <t xml:space="preserve">GREASE EXTRACT CASS. + SINGLE PLENUM BOX </t>
  </si>
  <si>
    <t>CC202 / CC203</t>
  </si>
  <si>
    <t xml:space="preserve">COND. EXTRACT CASS. + SINGLE PLENUM BOX </t>
  </si>
  <si>
    <t>CC300</t>
  </si>
  <si>
    <t>SUPPLY AIR CASSETTE</t>
  </si>
  <si>
    <t>CC301</t>
  </si>
  <si>
    <t>SINGLE PLENUM BOX</t>
  </si>
  <si>
    <t>CC400</t>
  </si>
  <si>
    <t>PASSIVE CASSETTE</t>
  </si>
  <si>
    <t>TEG-3-528X498-00-0-4K-0-2-0</t>
  </si>
  <si>
    <t>TEGRA 4000K DALI</t>
  </si>
  <si>
    <t>TEG-3-528X498-00-0-4K-0-2-3</t>
  </si>
  <si>
    <t>TEGRA 4000K DALI 3hrs DALI ECT</t>
  </si>
  <si>
    <t>STRIP LIGHTS</t>
  </si>
  <si>
    <t>EL18FLO</t>
  </si>
  <si>
    <t>PRISONS</t>
  </si>
  <si>
    <t>SECURITY FIXINGS PER TILE</t>
  </si>
  <si>
    <t>SECURITY MULLION (3M)</t>
  </si>
  <si>
    <t>PAINTED TILES PER  METRE</t>
  </si>
  <si>
    <t>CAPTURE JET PLENUM</t>
  </si>
  <si>
    <t>PER METRE</t>
  </si>
  <si>
    <t>HI FOG MULLION MODS</t>
  </si>
  <si>
    <t>SUPPLY DUCT</t>
  </si>
  <si>
    <t>ULC GREASE EXTRACT CASS</t>
  </si>
  <si>
    <t>MOD FRYER/BRATT SPEC</t>
  </si>
  <si>
    <t>ULC PLENUM BOX (FIRE RATED)</t>
  </si>
  <si>
    <t>BIM/REVIT</t>
  </si>
  <si>
    <t>PER SQ/M</t>
  </si>
  <si>
    <t>ULC EMERGENCY LIGHT</t>
  </si>
  <si>
    <t>DUCT DESIGN TIME</t>
  </si>
  <si>
    <t>PER DAY- MINIMUM 1</t>
  </si>
  <si>
    <t>CEILING DESIGN TIME</t>
  </si>
  <si>
    <t>LUX LEVEL TEST/REPORT</t>
  </si>
  <si>
    <t>MINIMUM 1 DAY - When no other light source apart from Halton</t>
  </si>
  <si>
    <t>DELIVERY &amp; INSTALLATION</t>
  </si>
  <si>
    <t>PRELIM SITE SURVEY</t>
  </si>
  <si>
    <t>MINIMUM 1</t>
  </si>
  <si>
    <t>SITE SET OUT LASER</t>
  </si>
  <si>
    <t>ONE DAY MIN PER PAIR</t>
  </si>
  <si>
    <t>TRIMMING ON SITE</t>
  </si>
  <si>
    <t>PER TRIM TILE</t>
  </si>
  <si>
    <t>SITE SET UP AND UNLOAD</t>
  </si>
  <si>
    <t>ONE DAY MIN</t>
  </si>
  <si>
    <t>SITE INDUCTION</t>
  </si>
  <si>
    <t>HALF DAY MIN</t>
  </si>
  <si>
    <t>FINAL CLEAN UP &amp; STRIP</t>
  </si>
  <si>
    <t>INSTALLATION DAY</t>
  </si>
  <si>
    <t>TOTAL AREA DIVIDED BY 4.0m2 customised to suit site</t>
  </si>
  <si>
    <t>1 Day per 20no Extract Tiles</t>
  </si>
  <si>
    <t>F24-19.2  AEROLYS COST SHEET</t>
  </si>
  <si>
    <t>m³/s</t>
  </si>
  <si>
    <t>AEROLYS AEU-</t>
  </si>
  <si>
    <t>INTERNAL</t>
  </si>
  <si>
    <t xml:space="preserve">PANEL / BAG FILTER </t>
  </si>
  <si>
    <t>ELEC / LPHW FROST COIL</t>
  </si>
  <si>
    <t>UV FILTER</t>
  </si>
  <si>
    <t>COOLING COIL</t>
  </si>
  <si>
    <t>LPHW HEATER</t>
  </si>
  <si>
    <t>HEAT RECLAIM COIL</t>
  </si>
  <si>
    <t>FAN SECTION</t>
  </si>
  <si>
    <t>ACCESS SECTION</t>
  </si>
  <si>
    <t>BIM/REVIT PER UNIT</t>
  </si>
  <si>
    <t>W/PROOF SINGLE PITCH ROOF</t>
  </si>
  <si>
    <t>PEU01-06</t>
  </si>
  <si>
    <t>Metre</t>
  </si>
  <si>
    <t>PEU07-10</t>
  </si>
  <si>
    <t>MCD</t>
  </si>
  <si>
    <t>ACCOUSTIC LINED</t>
  </si>
  <si>
    <t>EXTRA OVER FOR VERTICAL</t>
  </si>
  <si>
    <t xml:space="preserve">25% OF TOTAL UNIT </t>
  </si>
  <si>
    <t>BULKHEAD LIGHTING</t>
  </si>
  <si>
    <t>VIEWING PANEL</t>
  </si>
  <si>
    <t>DAMPERS</t>
  </si>
  <si>
    <t>Each</t>
  </si>
  <si>
    <t>3-Port Valve</t>
  </si>
  <si>
    <t>Actuator</t>
  </si>
  <si>
    <t>Control platform, fil/htg/clg/fan</t>
  </si>
  <si>
    <t>15mm</t>
  </si>
  <si>
    <t>Screwed</t>
  </si>
  <si>
    <t>Control platform, filters &amp; fan</t>
  </si>
  <si>
    <t>20mm</t>
  </si>
  <si>
    <t>25mm</t>
  </si>
  <si>
    <t>32mm</t>
  </si>
  <si>
    <t>40mm</t>
  </si>
  <si>
    <t>50mm</t>
  </si>
  <si>
    <t>Flanged</t>
  </si>
  <si>
    <t>Damper control</t>
  </si>
  <si>
    <t>65mm</t>
  </si>
  <si>
    <t>W/shop commissioning 1</t>
  </si>
  <si>
    <t>Standard cost</t>
  </si>
  <si>
    <t>W/shop commissioning 2</t>
  </si>
  <si>
    <t>Extra over for Extenso</t>
  </si>
  <si>
    <t>Not req'd if in Pollustop</t>
  </si>
  <si>
    <t>Frost 'stat</t>
  </si>
  <si>
    <t>Supply</t>
  </si>
  <si>
    <t>3-Port diverting valve</t>
  </si>
  <si>
    <t>Inlet 'stat</t>
  </si>
  <si>
    <t>Duct Sensor</t>
  </si>
  <si>
    <t xml:space="preserve">A1K-2W-DO-6'20' CLZP </t>
  </si>
  <si>
    <t>Outlet 'stat</t>
  </si>
  <si>
    <t>Pipe Sensor (HR ONLY)</t>
  </si>
  <si>
    <t xml:space="preserve">A1K-2W-5-4x </t>
  </si>
  <si>
    <t>Extract 'stat</t>
  </si>
  <si>
    <t>Extract</t>
  </si>
  <si>
    <t>HR 'stat</t>
  </si>
  <si>
    <t xml:space="preserve">DELIVERIES </t>
  </si>
  <si>
    <t>Hiab for PST04 and above (£650.00 London)</t>
  </si>
  <si>
    <t>HR pipe 'stat</t>
  </si>
  <si>
    <t>WHEELS</t>
  </si>
  <si>
    <t>PER M3</t>
  </si>
  <si>
    <t>PER TEAM PER DAY</t>
  </si>
  <si>
    <t>TRAVEL EXPENSES</t>
  </si>
  <si>
    <t>SITE SPECIFIC</t>
  </si>
  <si>
    <t>TEST &amp; COMMISSION SITE</t>
  </si>
  <si>
    <t>ONE Engineer, 2 days per Aerolys</t>
  </si>
  <si>
    <t>SITE INSTALLATION CHECK</t>
  </si>
  <si>
    <t>IF BEING INSTALLED BY A 3RD PARTY</t>
  </si>
  <si>
    <t>F24-19.2 POLLUSTOP COST SHEET</t>
  </si>
  <si>
    <t>POLLUSTOP PEU-</t>
  </si>
  <si>
    <t>PANEL / UV-C</t>
  </si>
  <si>
    <t>BAG FILTERS</t>
  </si>
  <si>
    <t>HEPA FILTERS</t>
  </si>
  <si>
    <t>CARBON FILTERS</t>
  </si>
  <si>
    <t>FAN SECTION &amp; VFD</t>
  </si>
  <si>
    <t>ESP</t>
  </si>
  <si>
    <t>1.5Kw to 37.0Kw Fan control</t>
  </si>
  <si>
    <t>Includes EMI filter</t>
  </si>
  <si>
    <t>Unit Mounted</t>
  </si>
  <si>
    <t>Filter Monitoring</t>
  </si>
  <si>
    <t>Not req'd if in Aerolys</t>
  </si>
  <si>
    <t>W/Shop commissioning 1</t>
  </si>
  <si>
    <t>W/Shop commissioning 2</t>
  </si>
  <si>
    <t>Extra over for Extenso unit</t>
  </si>
  <si>
    <t>PER UNIT</t>
  </si>
  <si>
    <t>ONE Engineer, 2 days per Pollustop</t>
  </si>
  <si>
    <t xml:space="preserve">F24-19.2   POLLU-LITE COST SHEET </t>
  </si>
  <si>
    <t>NO. OFF</t>
  </si>
  <si>
    <t>POLLU-LITE 01</t>
  </si>
  <si>
    <t>VERTICAL  0.9M3/S</t>
  </si>
  <si>
    <t>POLLU-LITE 02</t>
  </si>
  <si>
    <t>VERTICAL  1.8M3/S</t>
  </si>
  <si>
    <t>POLLU-LITE 03</t>
  </si>
  <si>
    <t>VERTICAL  2.7M3/S</t>
  </si>
  <si>
    <t>POLLU-LITE 04</t>
  </si>
  <si>
    <t>VERTICAL  3.6M3/S</t>
  </si>
  <si>
    <t xml:space="preserve">P-L 01 VOID </t>
  </si>
  <si>
    <t>HORIZONTAL  0.9M3/S</t>
  </si>
  <si>
    <t>P-L 02 VOID</t>
  </si>
  <si>
    <t>HORIZONTAL  1.8M3/S</t>
  </si>
  <si>
    <t xml:space="preserve">P-L 03 VOID </t>
  </si>
  <si>
    <t>HORIZONTAL  2.7M3/S</t>
  </si>
  <si>
    <t>P-L 04 VOID</t>
  </si>
  <si>
    <t>HORIZONTAL  3.6M3/S</t>
  </si>
  <si>
    <t>FLAT PACK (Inc. Pallets)</t>
  </si>
  <si>
    <t>FACTORY 25hrs x £35.00</t>
  </si>
  <si>
    <t>2No Genies Req'd for Void Mounted units</t>
  </si>
  <si>
    <t>FLAT PACK REASSEBLE ON SITE</t>
  </si>
  <si>
    <t>PER UNIT PER TEAM PER DAY</t>
  </si>
  <si>
    <t>2No Pairs Req'd for Void Mounted units</t>
  </si>
  <si>
    <t>ONE ENGINEER</t>
  </si>
  <si>
    <t>OPTIONAL ITEM</t>
  </si>
  <si>
    <t xml:space="preserve">F24-19.2   REACTAWAY COST SHEET </t>
  </si>
  <si>
    <t>HEAVY DUTY 0.80 M3/S</t>
  </si>
  <si>
    <t>2 x 4-TUBE SHORT RACK</t>
  </si>
  <si>
    <t>HEAVY DUTY 1.20 M3/S</t>
  </si>
  <si>
    <t>2 x 6-TUBE SHORT RACKS</t>
  </si>
  <si>
    <t>HEAVY DUTY 1.60 M3/S</t>
  </si>
  <si>
    <t>2 x 8-TUBE SHORT RACKS</t>
  </si>
  <si>
    <t>2 x 4-TUBE LONG RACKS</t>
  </si>
  <si>
    <t>HEAVY DUTY 2.40 M3/S</t>
  </si>
  <si>
    <t>2 x 6-TUBE LONG RACKS</t>
  </si>
  <si>
    <t>HEAVY DUTY 3.20 M3/S</t>
  </si>
  <si>
    <t>2 x 8-TUBE LONG RACKS</t>
  </si>
  <si>
    <t>HEAVY DUTY 3.60 M3/S</t>
  </si>
  <si>
    <t>3 x 6-TUBE LONG RACKS</t>
  </si>
  <si>
    <t>LIGH/MEDIUM DUTY 0.40 M3/S</t>
  </si>
  <si>
    <t>1 x 4-TUBE SHORT RACK</t>
  </si>
  <si>
    <t>LIGH/MEDIUM DUTY 0.60 M3/S</t>
  </si>
  <si>
    <t>1 x 6-TUBE SHORT RACK</t>
  </si>
  <si>
    <t>LIGH/MEDIUM DUTY 0.480M3/S</t>
  </si>
  <si>
    <t>1 x 8-TUBE SHORT RACK</t>
  </si>
  <si>
    <t>LIGH/MEDIUM DUTY 0.80 M3/S</t>
  </si>
  <si>
    <t>1 x 4-TUBE LONG RACK</t>
  </si>
  <si>
    <t>LIGH/MEDIUM DUTY 1.20 M3/S</t>
  </si>
  <si>
    <t>1 x 6-TUBE LONG RACK</t>
  </si>
  <si>
    <t>LIGH/MEDIUM DUTY 1.60 M3/S</t>
  </si>
  <si>
    <t>1 x 8-TUBE LONG RACK</t>
  </si>
  <si>
    <t>OPEN ITEM</t>
  </si>
  <si>
    <t>DESIGN</t>
  </si>
  <si>
    <t>1.0 Canopies</t>
  </si>
  <si>
    <t>Item</t>
  </si>
  <si>
    <t>Description</t>
  </si>
  <si>
    <t>Price</t>
  </si>
  <si>
    <t>Halton canopy, ex-works</t>
  </si>
  <si>
    <t>Delivery &amp; Installation</t>
  </si>
  <si>
    <t>Rip-out of existing canopies</t>
  </si>
  <si>
    <t>Testing &amp; Commissioning</t>
  </si>
  <si>
    <t>Sub Total</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</si>
  <si>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</si>
  <si>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</si>
  <si>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</si>
  <si>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</si>
  <si>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</si>
  <si>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</si>
  <si>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</si>
  <si>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</si>
  <si>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</si>
  <si>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</si>
  <si>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</si>
  <si>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</si>
  <si>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</si>
  <si>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</si>
  <si>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</si>
  <si>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</si>
  <si>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 xml:space="preserve">F24-09    UVGI COST SHEET </t>
  </si>
  <si>
    <t>ICT-8S1  0.90M3/S</t>
  </si>
  <si>
    <t>ICT-8S2  1.80M3/S</t>
  </si>
  <si>
    <t>ICT-8S3  2.70M3/S</t>
  </si>
  <si>
    <t>3 x 8-TUBE SHORT RACKS</t>
  </si>
  <si>
    <t>ICT-8S4  3.60M3/S</t>
  </si>
  <si>
    <t>4 x 8-TUBE SHORT RACKS</t>
  </si>
  <si>
    <t>ICT-8S5  4.50M3/S</t>
  </si>
  <si>
    <t>5 x 8-TUBE SHORT RACKS</t>
  </si>
  <si>
    <t>ICT-8S6  5.40M3/S</t>
  </si>
  <si>
    <t>6 x 8-TUBE SHORT RACKS</t>
  </si>
  <si>
    <t>ICT-8S7  6.75M3/S</t>
  </si>
  <si>
    <t>7 x 8-TUBE SHORT RACKS</t>
  </si>
  <si>
    <t>ICT-8S8  8.10M3/S</t>
  </si>
  <si>
    <t>8 x 8-TUBE SHORT RACKS</t>
  </si>
  <si>
    <t>ICT-4L1  0.90M3/S</t>
  </si>
  <si>
    <t>ICT-6L1  1.80M3/S</t>
  </si>
  <si>
    <t>T</t>
  </si>
  <si>
    <t>ICT-6L2  2.70M3/S</t>
  </si>
  <si>
    <t>2 x 6-TUBE LONG RACK</t>
  </si>
  <si>
    <t xml:space="preserve">ICT-6L2  3.60M3/S </t>
  </si>
  <si>
    <t>ICT-8L2  4.50M3/S</t>
  </si>
  <si>
    <t>2 x 8-TUBE LONG RACK</t>
  </si>
  <si>
    <t>ICT-8L3  5.40M3/S</t>
  </si>
  <si>
    <t>3 x 8-TUBE LONG RACK</t>
  </si>
  <si>
    <t>ICT-8L3  6.75M3/S</t>
  </si>
  <si>
    <t>ICT-8L4  8.10M3/S</t>
  </si>
  <si>
    <t>4 x 8-TUBE LONG RACK</t>
  </si>
  <si>
    <t>ICT-8L4  9.45M3/S</t>
  </si>
  <si>
    <t>ICT-8L5  10.80M3/S</t>
  </si>
  <si>
    <t>5 x 8-TUBE LONG RACK</t>
  </si>
  <si>
    <t>LONDON</t>
  </si>
  <si>
    <t>6% added to GREY column for 2025 shown in RED</t>
  </si>
  <si>
    <t>S</t>
  </si>
  <si>
    <t>ORIGINAL</t>
  </si>
  <si>
    <t>L</t>
  </si>
  <si>
    <t>PRICE INCREASE</t>
  </si>
  <si>
    <t>FILTER TYPE</t>
  </si>
  <si>
    <t>UV SELECTION</t>
  </si>
  <si>
    <t>UVR</t>
  </si>
  <si>
    <t>TUBES</t>
  </si>
  <si>
    <t>VENTILATED CEILING MODULES</t>
  </si>
  <si>
    <t>EXTERNAL</t>
  </si>
  <si>
    <t>SL10 GENIE</t>
  </si>
  <si>
    <t>0.5 M³/s GBWEC400 (inc INV)</t>
  </si>
  <si>
    <t>LED STRIP L6 Inc DALI</t>
  </si>
  <si>
    <t>CENTREX</t>
  </si>
  <si>
    <t>UVR4S-1   0.4 M³/s</t>
  </si>
  <si>
    <t>UVR4S-1</t>
  </si>
  <si>
    <t>8L</t>
  </si>
  <si>
    <t>PERIMETER CHANNEL (3M) + PERIMETER WEDGES</t>
  </si>
  <si>
    <t>CARCASS</t>
  </si>
  <si>
    <t>HRS</t>
  </si>
  <si>
    <t>EXTENSION FORKS</t>
  </si>
  <si>
    <t>1.0 M³/s GBDEC450 (inc INV)</t>
  </si>
  <si>
    <t>LED STRIP L12 inc DALI</t>
  </si>
  <si>
    <t>GRILLE</t>
  </si>
  <si>
    <t>UVR4S-2   0.8 M³/s</t>
  </si>
  <si>
    <t>UVR4S-2</t>
  </si>
  <si>
    <t>6L</t>
  </si>
  <si>
    <t>RISER ELECTRICAL INC MCB</t>
  </si>
  <si>
    <t>850X300X2100</t>
  </si>
  <si>
    <t>2.5M COMBI LADDER</t>
  </si>
  <si>
    <t>1.5 M³/s GBDEC500 (inc INV)</t>
  </si>
  <si>
    <t>LED STRIP L18 Inc DALI</t>
  </si>
  <si>
    <t>COALSCER</t>
  </si>
  <si>
    <t>UVR4S-3   1.2 M³/s</t>
  </si>
  <si>
    <t>UVR4S-3</t>
  </si>
  <si>
    <t>4L</t>
  </si>
  <si>
    <t>PS01 940mm</t>
  </si>
  <si>
    <t>850X300X3000</t>
  </si>
  <si>
    <t>NEW COSTS</t>
  </si>
  <si>
    <t>1.5M PODIUM</t>
  </si>
  <si>
    <t>2.0 M³/s GBDEC560 (inc INV)</t>
  </si>
  <si>
    <t>Small LED Spots inc DALI</t>
  </si>
  <si>
    <t>WW PODS</t>
  </si>
  <si>
    <t>UVR4S-4   1.6 M³/s</t>
  </si>
  <si>
    <t>UVR4S-4</t>
  </si>
  <si>
    <t>8S</t>
  </si>
  <si>
    <t xml:space="preserve">GREASE EXTRACT CASS.+ SINGLE PLENUM BOX </t>
  </si>
  <si>
    <t>PS02 940mm</t>
  </si>
  <si>
    <t>RISER ISOLATORS ONLY</t>
  </si>
  <si>
    <t>400X300X1200</t>
  </si>
  <si>
    <t>2.5 M³/s GBDRC630 (inc INV)</t>
  </si>
  <si>
    <t>Large LED Spots inc DALI</t>
  </si>
  <si>
    <t>KSA</t>
  </si>
  <si>
    <t>AMEREX</t>
  </si>
  <si>
    <t>UVR4S-5   2.0 M³/s</t>
  </si>
  <si>
    <t>UVR4S-5</t>
  </si>
  <si>
    <t>6S</t>
  </si>
  <si>
    <t>PS03 940mm</t>
  </si>
  <si>
    <t>400X300X2100</t>
  </si>
  <si>
    <t>COMBI LADDER</t>
  </si>
  <si>
    <t>ANDOVER 102</t>
  </si>
  <si>
    <t>3.0 M³/s GBDEC710 (Inc INV)</t>
  </si>
  <si>
    <t>HCL600 DALI</t>
  </si>
  <si>
    <t>KSA-UV</t>
  </si>
  <si>
    <t>UVR4S-6   2.4 M³/s</t>
  </si>
  <si>
    <t>UVR4S-6</t>
  </si>
  <si>
    <t>4S</t>
  </si>
  <si>
    <t>PS04 940mm</t>
  </si>
  <si>
    <t>400X300X3000</t>
  </si>
  <si>
    <t>HCL1200 DALI</t>
  </si>
  <si>
    <t>NF</t>
  </si>
  <si>
    <t>UVR4S-7   2.8 M³/s</t>
  </si>
  <si>
    <t>UVR4S-7</t>
  </si>
  <si>
    <t>PS05 940mm</t>
  </si>
  <si>
    <t>RISER MECHANICAL</t>
  </si>
  <si>
    <t>3M YOUNGMAN BOARD</t>
  </si>
  <si>
    <t>HCL1800 DALI</t>
  </si>
  <si>
    <t>PSU</t>
  </si>
  <si>
    <t>UVR4S-8   3.2 M³/s</t>
  </si>
  <si>
    <t>UVR4S-8</t>
  </si>
  <si>
    <t>PS06 940mm</t>
  </si>
  <si>
    <t>GS1930 SCISSOR LIFT</t>
  </si>
  <si>
    <t>BANBURY 128</t>
  </si>
  <si>
    <t>SMB500</t>
  </si>
  <si>
    <t>J BOX</t>
  </si>
  <si>
    <t>UVR4S-9   3.6 M³/s</t>
  </si>
  <si>
    <t>UVR4S-9</t>
  </si>
  <si>
    <t>CC500</t>
  </si>
  <si>
    <t>PS07 940mm</t>
  </si>
  <si>
    <t>4-6 SHERASCOPIC</t>
  </si>
  <si>
    <t>SMB550</t>
  </si>
  <si>
    <t>UVR4S-10  4.0 M³/s</t>
  </si>
  <si>
    <t>UVR4S-10</t>
  </si>
  <si>
    <t>CC501</t>
  </si>
  <si>
    <t>TEGRA 4000K DALI 3HRS DALI  ECT</t>
  </si>
  <si>
    <t>PS08 940mm</t>
  </si>
  <si>
    <t>RISER COMBINED M&amp;E</t>
  </si>
  <si>
    <t>1250X300X1200</t>
  </si>
  <si>
    <t>7-9 SHERASCOPIC</t>
  </si>
  <si>
    <t>SMB650</t>
  </si>
  <si>
    <t>LM6 - up to 1200mm</t>
  </si>
  <si>
    <t>SELECT DIAMETER</t>
  </si>
  <si>
    <t>UVR4S-11  4.4 M³/s</t>
  </si>
  <si>
    <t>UVR4S-11</t>
  </si>
  <si>
    <t>PS09 940mm</t>
  </si>
  <si>
    <t>1250X300X2100</t>
  </si>
  <si>
    <t>2.5% TOTAL CONTRACT VALUE</t>
  </si>
  <si>
    <t>SMB700</t>
  </si>
  <si>
    <t>LM12 - 1200 - 2500mm</t>
  </si>
  <si>
    <t>1000 DIAMETER</t>
  </si>
  <si>
    <t>UVR4S-12  4.8 M³/s</t>
  </si>
  <si>
    <t>UVR4S-12</t>
  </si>
  <si>
    <t>PS10 940mm</t>
  </si>
  <si>
    <t>1250X300X3000</t>
  </si>
  <si>
    <t>LM18 - 2500 - 3000mm</t>
  </si>
  <si>
    <t>1250MM DIAMETER</t>
  </si>
  <si>
    <t>UVR4L-1   0.8 M³/s</t>
  </si>
  <si>
    <t>UVR4L-1</t>
  </si>
  <si>
    <t>RACEWAY</t>
  </si>
  <si>
    <t>0-1100MM</t>
  </si>
  <si>
    <t>LED STRIP L6EM</t>
  </si>
  <si>
    <t>1500MM DIAMETER</t>
  </si>
  <si>
    <t>UVR4L-2   1.6 M³/s</t>
  </si>
  <si>
    <t>UVR4L-2</t>
  </si>
  <si>
    <t>1101MM-2300MM</t>
  </si>
  <si>
    <t>2M² (HFL)</t>
  </si>
  <si>
    <t>5.5KW DANFOSS INV IP21</t>
  </si>
  <si>
    <t>LED STRIP L12EM</t>
  </si>
  <si>
    <t>2000MM DIAMETER</t>
  </si>
  <si>
    <t>UVR4L-3   2.4 M³/s</t>
  </si>
  <si>
    <t>UVR4L-3</t>
  </si>
  <si>
    <t>CAPTUREJET</t>
  </si>
  <si>
    <t>CAPTURE JET PLENUM (PER METRE)</t>
  </si>
  <si>
    <t>2301MM-3000MM</t>
  </si>
  <si>
    <t>7.5KW DANFOSS INV IP21</t>
  </si>
  <si>
    <t>LED STRIP L18EM</t>
  </si>
  <si>
    <t>UVR4L-4   3.2 M³/s</t>
  </si>
  <si>
    <t>UVR4L-4</t>
  </si>
  <si>
    <t>PS01 1150mm</t>
  </si>
  <si>
    <t>PEDESTAL LEG</t>
  </si>
  <si>
    <t>11KW DANFOSS INV IP21</t>
  </si>
  <si>
    <t>EL215</t>
  </si>
  <si>
    <t>WATER WASH CONTROLS</t>
  </si>
  <si>
    <t>UVR4L-5   4.0 M³/s</t>
  </si>
  <si>
    <t>UVR4L-5</t>
  </si>
  <si>
    <t>PS02 1150mm</t>
  </si>
  <si>
    <t>POT RACK (TUBULAR)</t>
  </si>
  <si>
    <t>SINGLE SIDED UP TO 1200MM</t>
  </si>
  <si>
    <t>15KW DANFOSS INV IP21</t>
  </si>
  <si>
    <t>EL218</t>
  </si>
  <si>
    <t>GWHIZZ</t>
  </si>
  <si>
    <t>UVR4L6    4.8 M³/s</t>
  </si>
  <si>
    <t>UVR4L-6</t>
  </si>
  <si>
    <t>PS03 1150mm</t>
  </si>
  <si>
    <t>POT RACK (SOLID)</t>
  </si>
  <si>
    <t>PUMP</t>
  </si>
  <si>
    <t>UVR4L-7   5.6 M³/s</t>
  </si>
  <si>
    <t>UVR4L-7</t>
  </si>
  <si>
    <t xml:space="preserve">BIM/REVIT </t>
  </si>
  <si>
    <t>PS04 1150mm</t>
  </si>
  <si>
    <t>SALAMANDER SUPPORT</t>
  </si>
  <si>
    <t>INFILL</t>
  </si>
  <si>
    <t>MECH 1S</t>
  </si>
  <si>
    <t>UVR4L-8   6.4 M³/s</t>
  </si>
  <si>
    <t>UVR4L-8</t>
  </si>
  <si>
    <t>PS05 1150mm</t>
  </si>
  <si>
    <t>ELECTRICAL</t>
  </si>
  <si>
    <t>INFILL PER M2</t>
  </si>
  <si>
    <t>LED STRIP</t>
  </si>
  <si>
    <t>MECH 2S</t>
  </si>
  <si>
    <t>UVR4L-9   7.2 M³/s</t>
  </si>
  <si>
    <t>UVR4L-9</t>
  </si>
  <si>
    <t>PS06 1150mm</t>
  </si>
  <si>
    <t>SMALL LED-SPOTS</t>
  </si>
  <si>
    <t>MECH 3S</t>
  </si>
  <si>
    <t>UVR4L-10  8.0 M³/s</t>
  </si>
  <si>
    <t>UVR4L-10</t>
  </si>
  <si>
    <t>PS07 1150mm</t>
  </si>
  <si>
    <t>MCB</t>
  </si>
  <si>
    <t xml:space="preserve"> BIG LED-SPOTS</t>
  </si>
  <si>
    <t>MECH 4S</t>
  </si>
  <si>
    <t>UVR4L-11  8.8 M³/s</t>
  </si>
  <si>
    <t>UVR4L-11</t>
  </si>
  <si>
    <t>KITCHEN COMPONENTS</t>
  </si>
  <si>
    <t>PS08 1150mm</t>
  </si>
  <si>
    <t>MCB 4-WAY 125A</t>
  </si>
  <si>
    <t>CRATING PER M3</t>
  </si>
  <si>
    <t>BISHOP'S STORTFORD 55</t>
  </si>
  <si>
    <t>LED STRIP INC BATTERY</t>
  </si>
  <si>
    <t>BROADOAK 1S</t>
  </si>
  <si>
    <t>UVR4L-12  9.6 M³/s</t>
  </si>
  <si>
    <t>UVR4L-12</t>
  </si>
  <si>
    <t xml:space="preserve">PS-154 EDGE BOX </t>
  </si>
  <si>
    <t>LHC-2 CONTROL PANEL</t>
  </si>
  <si>
    <t>PS09 1550mm</t>
  </si>
  <si>
    <t>MCB 6-WAY 125A</t>
  </si>
  <si>
    <t>BROADOAK 2S</t>
  </si>
  <si>
    <t>UVR6S-1   0.6 M³/s</t>
  </si>
  <si>
    <t>UVR6S-1</t>
  </si>
  <si>
    <t>PS-150 TOUCH SCREEN</t>
  </si>
  <si>
    <t>LHC-2 HMI TOUCH SCREEN WALL HUNG ENCLOSURE</t>
  </si>
  <si>
    <t>PS10 1150mm</t>
  </si>
  <si>
    <t>MCB 8-WAY 125A</t>
  </si>
  <si>
    <t>SIZE LIGHTS…</t>
  </si>
  <si>
    <t>BROADOAK 3S</t>
  </si>
  <si>
    <t>UVR6S-2   1.2 M³/s</t>
  </si>
  <si>
    <t>UVR6S-2</t>
  </si>
  <si>
    <t>RH &amp; T SENSOR</t>
  </si>
  <si>
    <t>LHC-2 TH1</t>
  </si>
  <si>
    <t>MCB 16-WAY 125A</t>
  </si>
  <si>
    <t>EL06FLO</t>
  </si>
  <si>
    <t>BROADOAK 4S</t>
  </si>
  <si>
    <t>UVR6S-3   1.8 M³/s</t>
  </si>
  <si>
    <t>UVR6S-3</t>
  </si>
  <si>
    <t>EURO</t>
  </si>
  <si>
    <t>EL09FLO</t>
  </si>
  <si>
    <t>ANCILLARIES</t>
  </si>
  <si>
    <t>UVR6S-4   2.4 M³/s</t>
  </si>
  <si>
    <t>UVR6S-4</t>
  </si>
  <si>
    <t>MCB 18-WAY 125A</t>
  </si>
  <si>
    <t>GBP</t>
  </si>
  <si>
    <t>UVR6S-5   3.0 M³/s</t>
  </si>
  <si>
    <t>UVR6S-5</t>
  </si>
  <si>
    <t>PS-150 EDGE CONNECTIVITY</t>
  </si>
  <si>
    <t>PS01 790mm</t>
  </si>
  <si>
    <t>MCB 24-WAY 125A</t>
  </si>
  <si>
    <t>USD</t>
  </si>
  <si>
    <t>EL12FLO</t>
  </si>
  <si>
    <t>UVR6S-6   3.6 M³/s</t>
  </si>
  <si>
    <t>UVR6S-6</t>
  </si>
  <si>
    <t>PS02 790mm</t>
  </si>
  <si>
    <t>MCB 4-WAY 160A</t>
  </si>
  <si>
    <t>1000-S</t>
  </si>
  <si>
    <t>UVR6S-7   4.2 M³/s</t>
  </si>
  <si>
    <t>UVR6S-7</t>
  </si>
  <si>
    <t>PS03 790mm</t>
  </si>
  <si>
    <t>MCB 6-WAY 160A</t>
  </si>
  <si>
    <t>PLN</t>
  </si>
  <si>
    <t>EL15FLO</t>
  </si>
  <si>
    <t>1500-S</t>
  </si>
  <si>
    <t>UVR6S-8   4.8 M³/s</t>
  </si>
  <si>
    <t>UVR6S-8</t>
  </si>
  <si>
    <t>BIM/REVIT PER SYSTEM</t>
  </si>
  <si>
    <t>PS04 790mm</t>
  </si>
  <si>
    <t>MCB 8-WAY 160A</t>
  </si>
  <si>
    <t>2000-S</t>
  </si>
  <si>
    <t>UVR6S-9   5.4 M³/s</t>
  </si>
  <si>
    <t>UVR6S-9</t>
  </si>
  <si>
    <t>PS05 790mm</t>
  </si>
  <si>
    <t>MCB 16-WAY 160A</t>
  </si>
  <si>
    <t>2500-S</t>
  </si>
  <si>
    <t>UVR6S-10  5.4 M³/s</t>
  </si>
  <si>
    <t>UVR6S-10</t>
  </si>
  <si>
    <t>PS06 790mm</t>
  </si>
  <si>
    <t xml:space="preserve">upto 12kW </t>
  </si>
  <si>
    <t>3000-S</t>
  </si>
  <si>
    <t>UVR6S-11  6.6 M³/s</t>
  </si>
  <si>
    <t>UVR6S-11</t>
  </si>
  <si>
    <t>CANOPY COMPONENTS</t>
  </si>
  <si>
    <t>EXTRACT PLENUM</t>
  </si>
  <si>
    <t>PS07 790mm</t>
  </si>
  <si>
    <t>MCB 18-WAY 160A</t>
  </si>
  <si>
    <t>KVX-M</t>
  </si>
  <si>
    <t xml:space="preserve">upto 24kW </t>
  </si>
  <si>
    <t>LED STRIP L6</t>
  </si>
  <si>
    <t>1000-D</t>
  </si>
  <si>
    <t>UVR6S-12  7.2 M³/s</t>
  </si>
  <si>
    <t>UVR6S-12</t>
  </si>
  <si>
    <t>SUPERVISOR</t>
  </si>
  <si>
    <t>LHC-2-MU1 + VV1</t>
  </si>
  <si>
    <t>PS08 790mm</t>
  </si>
  <si>
    <t>MCB 24-WAY 160A</t>
  </si>
  <si>
    <t>KVI</t>
  </si>
  <si>
    <t xml:space="preserve">upto 30kW </t>
  </si>
  <si>
    <t>1500-D</t>
  </si>
  <si>
    <t>UVR6L-1   1.2 M³/s</t>
  </si>
  <si>
    <t>UVR6L-1</t>
  </si>
  <si>
    <t>ICM CABLE (3M OR 5M)</t>
  </si>
  <si>
    <t>1 PER SECTION</t>
  </si>
  <si>
    <t>PS09 790mm</t>
  </si>
  <si>
    <t>MCB 4-WAY 250A</t>
  </si>
  <si>
    <t>KVF</t>
  </si>
  <si>
    <t xml:space="preserve">upto 36kW </t>
  </si>
  <si>
    <t>2000-D</t>
  </si>
  <si>
    <t>UVR6L-2   2.4 M³/s</t>
  </si>
  <si>
    <t>UVR6L-2</t>
  </si>
  <si>
    <t>PS10 790mm</t>
  </si>
  <si>
    <t>MCB 6-WAY 250A</t>
  </si>
  <si>
    <t>UVX</t>
  </si>
  <si>
    <t xml:space="preserve">upto 42kW </t>
  </si>
  <si>
    <t>LED STRIP L12</t>
  </si>
  <si>
    <t>2500-D</t>
  </si>
  <si>
    <t>UVR6L-3   3.6 M³/s</t>
  </si>
  <si>
    <t>UVR6L-3</t>
  </si>
  <si>
    <t>NTC-4  SENSOR</t>
  </si>
  <si>
    <t>MCB 8-WAY 250A</t>
  </si>
  <si>
    <t>UVX-M</t>
  </si>
  <si>
    <t>3000-D</t>
  </si>
  <si>
    <t>1 TANK</t>
  </si>
  <si>
    <t>UVR6L-4   4.8 M³/s</t>
  </si>
  <si>
    <t>UVR6L-4</t>
  </si>
  <si>
    <t>LIR-2 SENSOR</t>
  </si>
  <si>
    <t>MCB 16-WAY 250A</t>
  </si>
  <si>
    <t>UVI</t>
  </si>
  <si>
    <t>UVR6L-5   6.0 M³/s</t>
  </si>
  <si>
    <t>UVR6L-5</t>
  </si>
  <si>
    <t>MOTORISED DAMPER</t>
  </si>
  <si>
    <t>600/400 X 300MM  1 PER SPIGOT</t>
  </si>
  <si>
    <t>UVF</t>
  </si>
  <si>
    <t>LED STRIP L18</t>
  </si>
  <si>
    <t>2 TANK</t>
  </si>
  <si>
    <t>UVR6L-6    7.2 M³/s</t>
  </si>
  <si>
    <t>UVR6L-6</t>
  </si>
  <si>
    <t>HFA CIRC. DAMPER</t>
  </si>
  <si>
    <t xml:space="preserve">250MM DIAMETER </t>
  </si>
  <si>
    <t>PS01 600mm</t>
  </si>
  <si>
    <t>MCB 18-WAY 250A</t>
  </si>
  <si>
    <t>UV-C POD</t>
  </si>
  <si>
    <t>EXTRAS</t>
  </si>
  <si>
    <t>UVR6L-7   8.4 M³/s</t>
  </si>
  <si>
    <t>UVR6L-7</t>
  </si>
  <si>
    <t>HFR RECT. DAMPER</t>
  </si>
  <si>
    <t>315MM INLET 500X400 OUTLET</t>
  </si>
  <si>
    <t>PS02 600mm</t>
  </si>
  <si>
    <t>MCB 24-WAY 250A</t>
  </si>
  <si>
    <t>CMWI</t>
  </si>
  <si>
    <t>CMW  PIPEWORK HWS/CWS</t>
  </si>
  <si>
    <t>3 TANK</t>
  </si>
  <si>
    <t>UVR6L-8   9.6 M³/s</t>
  </si>
  <si>
    <t>UVR6L-8</t>
  </si>
  <si>
    <t>PS03 600mm</t>
  </si>
  <si>
    <t>CMWF</t>
  </si>
  <si>
    <t>UVR6L-9   10.8 M³/s</t>
  </si>
  <si>
    <t>UVR6L-9</t>
  </si>
  <si>
    <t>PS04 600mm</t>
  </si>
  <si>
    <t>REMOTE RCD &amp; HOUSING</t>
  </si>
  <si>
    <t>CXW</t>
  </si>
  <si>
    <t>4 TANK</t>
  </si>
  <si>
    <t>UVR6L-10  12.0 M³/s</t>
  </si>
  <si>
    <t>UVR6L-10</t>
  </si>
  <si>
    <t>PS05 600mm</t>
  </si>
  <si>
    <t>CXW-M</t>
  </si>
  <si>
    <t>UVR6L-11  13.2 M³/s</t>
  </si>
  <si>
    <t>UVR6L-11</t>
  </si>
  <si>
    <t>PS06 600mm</t>
  </si>
  <si>
    <t>SHUNT TRIP + KO</t>
  </si>
  <si>
    <t>On Request for Schneider ONLY</t>
  </si>
  <si>
    <t>Shunt is included in the ABB costs that we curerently use as advised by S.Steers</t>
  </si>
  <si>
    <t>KVV</t>
  </si>
  <si>
    <t>5 TANK</t>
  </si>
  <si>
    <t>UVR6L-12  14.4 M³/s</t>
  </si>
  <si>
    <t>UVR6L-12</t>
  </si>
  <si>
    <t>PS07 600mm</t>
  </si>
  <si>
    <t>ADDITIONAL KO</t>
  </si>
  <si>
    <t>CHELMSFORD 51</t>
  </si>
  <si>
    <t>UVR8S-1   0.8 M³/s</t>
  </si>
  <si>
    <t>UVR8S-1</t>
  </si>
  <si>
    <t>PS08 600mm</t>
  </si>
  <si>
    <t>ISO/  OUTLET (NO MCB)</t>
  </si>
  <si>
    <t>6 TANK</t>
  </si>
  <si>
    <t>UVR8S-2   1.6 M³/s</t>
  </si>
  <si>
    <t>UVR8S-2</t>
  </si>
  <si>
    <t>PS09 600mm</t>
  </si>
  <si>
    <t>UVR8S-3   2.4 M³/s</t>
  </si>
  <si>
    <t>UVR8S-3</t>
  </si>
  <si>
    <t>PS10 600mm</t>
  </si>
  <si>
    <t>16 AMP 1-PH ISO/OUTLET(NO MCB)</t>
  </si>
  <si>
    <t>UVR8S-4   3.2 M³/s</t>
  </si>
  <si>
    <t>UVR8S-4</t>
  </si>
  <si>
    <t>32 AMP 1-PH ISO/OUTLET(NO MCB)</t>
  </si>
  <si>
    <t>UVR8S-5   4.0 M³/s</t>
  </si>
  <si>
    <t>UVR8S-5</t>
  </si>
  <si>
    <t>MOTORISED DAMPERS</t>
  </si>
  <si>
    <t>16 AMP 3-PH ISO/OUTLET(NO MCB)</t>
  </si>
  <si>
    <t>UVR8S-6   4.8 M³/s</t>
  </si>
  <si>
    <t>UVR8S-6</t>
  </si>
  <si>
    <t>UKV RECT DAMPER</t>
  </si>
  <si>
    <t>0.440M3/S - 1.600M3/S</t>
  </si>
  <si>
    <t>32 AMP 3-PH ISO/OUTLET(NO MCB)</t>
  </si>
  <si>
    <t>UVR8S-7   5.6 M³/s</t>
  </si>
  <si>
    <t>UVR8S-7</t>
  </si>
  <si>
    <t>0.528M3/S - 1.920M3/S</t>
  </si>
  <si>
    <t>63 AMP 3-PH ISO/OUTLET(NO MCB)</t>
  </si>
  <si>
    <t>UVR8S-8   6.4 M³/s</t>
  </si>
  <si>
    <t>UVR8S-8</t>
  </si>
  <si>
    <t>0.616M3/S - 2.240M3/S</t>
  </si>
  <si>
    <t>125 AMP 3-PH ISO/OUTLET(NO MCB)</t>
  </si>
  <si>
    <t>UVR8S-9   7.2 M³/s</t>
  </si>
  <si>
    <t>UVR8S-9</t>
  </si>
  <si>
    <t>0.880M3/S - 3.200M3/S</t>
  </si>
  <si>
    <t>UVR8S-10  8.0 M³/s</t>
  </si>
  <si>
    <t>UVR8S-10</t>
  </si>
  <si>
    <t>1.100M3/S - 4.000M3/S</t>
  </si>
  <si>
    <t>ISO / OUTLET (MCB)</t>
  </si>
  <si>
    <t>Size factor</t>
  </si>
  <si>
    <t>UVR8S-11  8.8 M³/s</t>
  </si>
  <si>
    <t>UVR8S-11</t>
  </si>
  <si>
    <t>1.760M3/S - 6.400M3/S</t>
  </si>
  <si>
    <t>UVR8S-12  9.6 M³/s</t>
  </si>
  <si>
    <t>UVR8S-12</t>
  </si>
  <si>
    <t>16 AMP 1-PH ISO/OUTLET(MCB)</t>
  </si>
  <si>
    <t>KVI-LL</t>
  </si>
  <si>
    <t>UVR8L-1   1.6 M³/s</t>
  </si>
  <si>
    <t>UVR8L-1</t>
  </si>
  <si>
    <t>32 AMP 1-PH ISO/OUTLET(MCB)</t>
  </si>
  <si>
    <t>UVI-LL</t>
  </si>
  <si>
    <t>UVR8L-2   3.2 M³/s</t>
  </si>
  <si>
    <t>UVR8L-2</t>
  </si>
  <si>
    <t>16 AMP 3-PH ISO/OUTLET(MCB + VIGI)</t>
  </si>
  <si>
    <t>CMW-I-MUAP</t>
  </si>
  <si>
    <t>DUNDEE 499</t>
  </si>
  <si>
    <t>UVR8L-3   4.8 M³/s</t>
  </si>
  <si>
    <t>UVR8L-3</t>
  </si>
  <si>
    <t>DELIVER &amp; INSTALLATION</t>
  </si>
  <si>
    <t>32 AMP 3-PH ISO/OUTLET(MCB + VIGI)</t>
  </si>
  <si>
    <t>CV-I-MUAP</t>
  </si>
  <si>
    <t>UVR8L-4   6.4 M³/s</t>
  </si>
  <si>
    <t>UVR8L-4</t>
  </si>
  <si>
    <t>PROGRAMMING</t>
  </si>
  <si>
    <t>4HRS</t>
  </si>
  <si>
    <t>63 AMP 3-PH ISO/OUTLET(MCB)</t>
  </si>
  <si>
    <t>CV-W-MUAP</t>
  </si>
  <si>
    <t>UVR8L-5   8.0 M³/s</t>
  </si>
  <si>
    <t>UVR8L-5</t>
  </si>
  <si>
    <t>WORKSHOP INSTALL</t>
  </si>
  <si>
    <t>4HRS PER SECTION</t>
  </si>
  <si>
    <t>125 AMP 3-PH ISO/OUTLET(MCB)</t>
  </si>
  <si>
    <t>UVR8L-6   9.6 M³/s</t>
  </si>
  <si>
    <t>UVR8L-6</t>
  </si>
  <si>
    <t>SITE INSTALLATION</t>
  </si>
  <si>
    <t>4 SECTIONS PER DAY</t>
  </si>
  <si>
    <t>16 AMP 3-PH ISO/OUTLET(MCB + RCD)</t>
  </si>
  <si>
    <t>UVR8L-7   11.2 M³/s</t>
  </si>
  <si>
    <t>UVR8L-7</t>
  </si>
  <si>
    <t>PER SYSTEM</t>
  </si>
  <si>
    <t>32 AMP 3-PH ISO/OUTLET(MCB + RCD)</t>
  </si>
  <si>
    <t>UVR8L-8   12.8 M³/s</t>
  </si>
  <si>
    <t>UVR8L-8</t>
  </si>
  <si>
    <t>1st TEST &amp; COMMISSION</t>
  </si>
  <si>
    <t>PS01 800mm</t>
  </si>
  <si>
    <t>UVR8L-9   14.4 M³/s</t>
  </si>
  <si>
    <t>UVR8L-9</t>
  </si>
  <si>
    <t>2nd TEST &amp; COMMISSION</t>
  </si>
  <si>
    <t>1 DAY PER SYSTEM</t>
  </si>
  <si>
    <t>PS02 800mm</t>
  </si>
  <si>
    <t>UVR8L-10  16.0 M³/s</t>
  </si>
  <si>
    <t>UVR8L-10</t>
  </si>
  <si>
    <t>PS03 800mm</t>
  </si>
  <si>
    <t>3-PHASE ISOLATOR/OUTLET</t>
  </si>
  <si>
    <t>UVR8L-11  17.6 M³/s</t>
  </si>
  <si>
    <t>UVR8L-11</t>
  </si>
  <si>
    <t>PS04 800mm</t>
  </si>
  <si>
    <t>UVR8L-12  19.2 M³/s</t>
  </si>
  <si>
    <t>UVR8L-12</t>
  </si>
  <si>
    <t>PS05 800mm</t>
  </si>
  <si>
    <t>PS06 800mm</t>
  </si>
  <si>
    <t>PS07 800mm</t>
  </si>
  <si>
    <t>PS08 800mm</t>
  </si>
  <si>
    <t>PS09 800mm</t>
  </si>
  <si>
    <t>PS10 800mm</t>
  </si>
  <si>
    <t>RING MAIN</t>
  </si>
  <si>
    <t>INC 2NO SSO</t>
  </si>
  <si>
    <t>PS01 1560mm</t>
  </si>
  <si>
    <t>ADDITIONAL SSO</t>
  </si>
  <si>
    <t>PS02 1560mm</t>
  </si>
  <si>
    <t>BS 6173 CT1750</t>
  </si>
  <si>
    <t>GAS INTERLOCK EX-WORKS</t>
  </si>
  <si>
    <t>PS03 1560mm</t>
  </si>
  <si>
    <t>INC 2NO SSO WITH MCB</t>
  </si>
  <si>
    <t>PS04 1560mm</t>
  </si>
  <si>
    <t>GAS (MF MECH)</t>
  </si>
  <si>
    <t>PS05 2060mm</t>
  </si>
  <si>
    <t>GAS MANIFOLD</t>
  </si>
  <si>
    <t>50MM UP TO 6M</t>
  </si>
  <si>
    <t>PS06 2060mm</t>
  </si>
  <si>
    <t>40MM UP TO 6M</t>
  </si>
  <si>
    <t>PS07 2060mm</t>
  </si>
  <si>
    <t>32MM UP TO 6M</t>
  </si>
  <si>
    <t>HOLYHEAD 347</t>
  </si>
  <si>
    <t>PS08 2060mm</t>
  </si>
  <si>
    <t>25MM UP TO 6M</t>
  </si>
  <si>
    <t>PS09 2060mm</t>
  </si>
  <si>
    <t>GAS CONNECTION</t>
  </si>
  <si>
    <t>15MM</t>
  </si>
  <si>
    <t>PS10 2060mm</t>
  </si>
  <si>
    <t>20MM</t>
  </si>
  <si>
    <t>25MM</t>
  </si>
  <si>
    <t>32MM</t>
  </si>
  <si>
    <t>GAS SOLONOID VALVE</t>
  </si>
  <si>
    <t>GAS SOLONOD VALVE</t>
  </si>
  <si>
    <t>40MM</t>
  </si>
  <si>
    <t xml:space="preserve">50MM  </t>
  </si>
  <si>
    <t>on application</t>
  </si>
  <si>
    <t>application</t>
  </si>
  <si>
    <t>WATER  (MF MECH)</t>
  </si>
  <si>
    <t>CWS MANIFOLD</t>
  </si>
  <si>
    <t>28MM UP TO 6M</t>
  </si>
  <si>
    <t>22MM UP TO 6M</t>
  </si>
  <si>
    <t>15MM UP TO 6M</t>
  </si>
  <si>
    <t>HWS MANIFOLD</t>
  </si>
  <si>
    <t>22/15MM UP TO 6M</t>
  </si>
  <si>
    <t>WATER CONNECTION</t>
  </si>
  <si>
    <t xml:space="preserve">15MM </t>
  </si>
  <si>
    <t xml:space="preserve">22MM </t>
  </si>
  <si>
    <t xml:space="preserve">28MM </t>
  </si>
  <si>
    <t>ESP SECTION</t>
  </si>
  <si>
    <t>TAPS (FAUCETS)</t>
  </si>
  <si>
    <t>DIE-PAT</t>
  </si>
  <si>
    <t>DELIVERY C/W CANOPY</t>
  </si>
  <si>
    <t>M&amp;E SERVICES</t>
  </si>
  <si>
    <t>SITE LIVE TEST</t>
  </si>
  <si>
    <t>OPTION</t>
  </si>
  <si>
    <t>SWANSEA 229</t>
  </si>
  <si>
    <t>WARMINSTER 137</t>
  </si>
  <si>
    <t>CODE</t>
  </si>
  <si>
    <t>LABOUR</t>
  </si>
  <si>
    <t>WORKSHOP</t>
  </si>
  <si>
    <t>BODY</t>
  </si>
  <si>
    <t>KVV BODY</t>
  </si>
  <si>
    <t>CX-W BODY</t>
  </si>
  <si>
    <t>FRONT PLENUM</t>
  </si>
  <si>
    <t>FRONT PANEL</t>
  </si>
  <si>
    <t>MUAP PERF</t>
  </si>
  <si>
    <t>UV DOOR</t>
  </si>
  <si>
    <t>PRESSURE TAP</t>
  </si>
  <si>
    <t>DRAWER</t>
  </si>
  <si>
    <t>CJ FAN</t>
  </si>
  <si>
    <t>MUA SPIGOT</t>
  </si>
  <si>
    <t>DIFFUSER</t>
  </si>
  <si>
    <t>LIGHT ROOF</t>
  </si>
  <si>
    <t>DETERGENT</t>
  </si>
  <si>
    <t>MECHANICAL</t>
  </si>
  <si>
    <t>ENCLOSURE</t>
  </si>
  <si>
    <t>END PANEL</t>
  </si>
  <si>
    <t>CP</t>
  </si>
  <si>
    <t>KVX-P</t>
  </si>
  <si>
    <t>PRICES JUL 2023</t>
  </si>
  <si>
    <t>Material</t>
  </si>
  <si>
    <t>Material Price m²</t>
  </si>
  <si>
    <t>Sq. Metres</t>
  </si>
  <si>
    <t>Scrap</t>
  </si>
  <si>
    <t>Locks</t>
  </si>
  <si>
    <t>Hinges</t>
  </si>
  <si>
    <t>GREASE DRAWER</t>
  </si>
  <si>
    <t>SC2</t>
  </si>
  <si>
    <t>PERF FRONT PANEL FRAME</t>
  </si>
  <si>
    <t>PERF FRONT PANEL C</t>
  </si>
  <si>
    <t>PERF PANEL 1000MM</t>
  </si>
  <si>
    <t>PERF30</t>
  </si>
  <si>
    <t>SLIDING PLATE DAMPERS</t>
  </si>
  <si>
    <t>SC1</t>
  </si>
  <si>
    <t>UV DOORS LONG</t>
  </si>
  <si>
    <t>UV DOORS SHORT</t>
  </si>
  <si>
    <t xml:space="preserve">UV-C EXTRACT PLENUM 1000MM </t>
  </si>
  <si>
    <t>KVX EXTRACT PLENUM 1000MM</t>
  </si>
  <si>
    <t>KVF CJ PLENUM 1000MM</t>
  </si>
  <si>
    <t>KVI CJ EXTRACT PLENUM 1000MM</t>
  </si>
  <si>
    <t>KVX FRONT PANEL 1000MM</t>
  </si>
  <si>
    <t>C EXTRACT PLENUM -1250</t>
  </si>
  <si>
    <t>C EXTRACT PLENUM -1500</t>
  </si>
  <si>
    <t>C EXTRACT PLENUM -1750</t>
  </si>
  <si>
    <t>C EXTRACT PLENUM - 2000</t>
  </si>
  <si>
    <t>CMW EXTRACT PLENUM BODY</t>
  </si>
  <si>
    <t>CX-W BODY - 1000</t>
  </si>
  <si>
    <t>CX-W BODY - 1250</t>
  </si>
  <si>
    <t>CX-W BODY - 1500</t>
  </si>
  <si>
    <t>CX-W BODY - 1750</t>
  </si>
  <si>
    <t>CX-W BODY - 2000</t>
  </si>
  <si>
    <t>KVV BODY - 1000</t>
  </si>
  <si>
    <t>KVV BODY - 1250</t>
  </si>
  <si>
    <t>KVV BODY - 1500</t>
  </si>
  <si>
    <t>KVV BODY - 1750</t>
  </si>
  <si>
    <t>KVV BODY - 2000</t>
  </si>
  <si>
    <t>END PANEL SINGLE SKIN - 1000</t>
  </si>
  <si>
    <t>END PANEL SINGLE SKIN - 1250</t>
  </si>
  <si>
    <t>END PANEL SINGLE SKIN - 1500</t>
  </si>
  <si>
    <t>END PANEL SINGLE SKIN - 1750</t>
  </si>
  <si>
    <t>END PANEL SINGLE SKIN - 2000</t>
  </si>
  <si>
    <t>END PANEL DOUBLE SKIN (CJ) - 1250</t>
  </si>
  <si>
    <t>END PANEL DOUBLE SKIN (CJ) - 1500</t>
  </si>
  <si>
    <t>END PANEL DOUBLE SKIN (CJ) - 1750</t>
  </si>
  <si>
    <t>END PANEL DOUBLE SKIN (CJ) - 2000</t>
  </si>
  <si>
    <t>LIGHT ROOF PER 1000MM - 1250</t>
  </si>
  <si>
    <t>LIGHT ROOF PER 1000MM - 1500</t>
  </si>
  <si>
    <t>LIGHT ROOF PER 1000MM - 1750</t>
  </si>
  <si>
    <t>LIGHT ROOF PER 1000MM - 2000</t>
  </si>
  <si>
    <t>CJ</t>
  </si>
  <si>
    <t>INSULATION PER METER</t>
  </si>
  <si>
    <t>INSUL</t>
  </si>
  <si>
    <t xml:space="preserve">DIFFUSER </t>
  </si>
  <si>
    <t>WATERWASH ENCLOSURE</t>
  </si>
  <si>
    <t>SCRAP</t>
  </si>
  <si>
    <t>LOCKS (MFG-045)</t>
  </si>
  <si>
    <t>HINGES (MFG148)</t>
  </si>
  <si>
    <t>CJ (CJF-008)</t>
  </si>
  <si>
    <t>PRESS TAP-CJ</t>
  </si>
  <si>
    <t>PRESS TAP</t>
  </si>
  <si>
    <t>DES 2B</t>
  </si>
  <si>
    <t>CORNER(S)</t>
  </si>
  <si>
    <t>CUT OUT(S) PER CANOPY</t>
  </si>
  <si>
    <t>SECTION(S) OF CANOPY</t>
  </si>
  <si>
    <t>METER OF DUCT</t>
  </si>
  <si>
    <t xml:space="preserve">HEADER DUCT </t>
  </si>
  <si>
    <t>18% May 21</t>
  </si>
  <si>
    <t>3% Oct 21</t>
  </si>
  <si>
    <t>10% Jul-23</t>
  </si>
  <si>
    <t>6% Jan-25</t>
  </si>
  <si>
    <t>PER METER</t>
  </si>
  <si>
    <t>2B</t>
  </si>
  <si>
    <t>£20.78/M2</t>
  </si>
  <si>
    <t>£21.77/M2</t>
  </si>
  <si>
    <t>PER SECTION</t>
  </si>
  <si>
    <t>£23.76/M2</t>
  </si>
  <si>
    <t>PERF</t>
  </si>
  <si>
    <t>PER LIGHT FITTING</t>
  </si>
  <si>
    <t>UP TO 5M</t>
  </si>
  <si>
    <t>S/S  T-SHAPED SUPPORT</t>
  </si>
  <si>
    <t xml:space="preserve"> 2nd EXTRACT PLENUM</t>
  </si>
  <si>
    <t>PER METRE (292mm)</t>
  </si>
  <si>
    <t>PER METRE (365mm)</t>
  </si>
  <si>
    <t>EACH</t>
  </si>
  <si>
    <t>CP1S HOT ONLY</t>
  </si>
  <si>
    <t>CP2S HOT ONLY</t>
  </si>
  <si>
    <t>CP3S HOT ONLY</t>
  </si>
  <si>
    <t>CP4S HOT ONLY</t>
  </si>
  <si>
    <t>Sonny Lonsdale</t>
  </si>
  <si>
    <t>Company</t>
  </si>
  <si>
    <t>Address</t>
  </si>
  <si>
    <t>Unit 002, Watermoor Point,
Watermoor Road,
Cirencester,
Gloustershire.
GL7 1LF</t>
  </si>
  <si>
    <t>Estimator_Full_Name</t>
  </si>
  <si>
    <t>Simon Still</t>
  </si>
  <si>
    <t>Estimator_Rank</t>
  </si>
  <si>
    <t>Lead Estimator</t>
  </si>
  <si>
    <t>Sales_Contact</t>
  </si>
  <si>
    <t>Dean Griffiths</t>
  </si>
  <si>
    <t>Delivery_Location</t>
  </si>
  <si>
    <t>Revision</t>
  </si>
  <si>
    <t>Sheet Type</t>
  </si>
  <si>
    <t>Sheet Name</t>
  </si>
  <si>
    <t>Total Price (N9)</t>
  </si>
  <si>
    <t>Total Cost (K9)</t>
  </si>
  <si>
    <t>Price Formula Reference</t>
  </si>
  <si>
    <t>Cost Formula Reference</t>
  </si>
  <si>
    <t>Reference Cells for JOB TOTAL</t>
  </si>
  <si>
    <t>CANOPY</t>
  </si>
  <si>
    <t>CANOPY - Ground Floor (1)</t>
  </si>
  <si>
    <t>'CANOPY - Ground Floor (1)'!N9</t>
  </si>
  <si>
    <t>'CANOPY - Ground Floor (1)'!K9</t>
  </si>
  <si>
    <t>CANOPY_PRICE_TOTAL=C7</t>
  </si>
  <si>
    <t>FIRE SUPP</t>
  </si>
  <si>
    <t>FIRE SUPP - Ground Floor (1)</t>
  </si>
  <si>
    <t>'FIRE SUPP - Ground Floor (1)'!N9</t>
  </si>
  <si>
    <t>'FIRE SUPP - Ground Floor (1)'!K9</t>
  </si>
  <si>
    <t>FIRE_SUPP_PRICE_TOTAL=C8</t>
  </si>
  <si>
    <t>EBOX_PRICE_TOTAL=C9</t>
  </si>
  <si>
    <t>SDU_PRICE_TOTAL=C10</t>
  </si>
  <si>
    <t>SUMMARY TOTALS</t>
  </si>
  <si>
    <t>RECOAIR_PRICE_TOTAL=C11</t>
  </si>
  <si>
    <t>CANOPY TOTAL</t>
  </si>
  <si>
    <t>MARVEL_PRICE_TOTAL=C12</t>
  </si>
  <si>
    <t>FIRE SUPP TOTAL</t>
  </si>
  <si>
    <t>OTHER_PRICE_TOTAL=C13</t>
  </si>
  <si>
    <t>EBOX TOTAL</t>
  </si>
  <si>
    <t>UV_EXTRA_OVER_PRICE_TOTAL=C14</t>
  </si>
  <si>
    <t>SDU TOTAL</t>
  </si>
  <si>
    <t>PROJECT_PRICE_TOTAL=C15</t>
  </si>
  <si>
    <t>RECOAIR TOTAL</t>
  </si>
  <si>
    <t>CANOPY_COST_TOTAL=D7</t>
  </si>
  <si>
    <t>MARVEL TOTAL</t>
  </si>
  <si>
    <t>FIRE_SUPP_COST_TOTAL=D8</t>
  </si>
  <si>
    <t>OTHER TOTAL</t>
  </si>
  <si>
    <t>EBOX_COST_TOTAL=D9</t>
  </si>
  <si>
    <t>UV EXTRA OVER TOTAL</t>
  </si>
  <si>
    <t>SDU_COST_TOTAL=D10</t>
  </si>
  <si>
    <t>RECOAIR_COST_TOTAL=D11</t>
  </si>
  <si>
    <t>MARVEL_COST_TOTAL=D12</t>
  </si>
  <si>
    <t>OTHER_COST_TOTAL=D13</t>
  </si>
  <si>
    <t>UV_EXTRA_OVER_COST_TOTAL=D14</t>
  </si>
  <si>
    <t>PROJECT_COST_TOTAL=D15</t>
  </si>
  <si>
    <t>1.01a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</si>
</sst>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quot;£&quot;#,##0;[Red]\-&quot;£&quot;#,##0"/>
    <numFmt numFmtId="165" formatCode="&quot;£&quot;#,##0.00;[Red]\-&quot;£&quot;#,##0.00"/>
    <numFmt numFmtId="166" formatCode="_-&quot;£&quot;* #,##0.00_-;\-&quot;£&quot;* #,##0.00_-;_-&quot;£&quot;* &quot;-&quot;??_-;_-@_-"/>
    <numFmt numFmtId="167" formatCode="&quot;£&quot;#,##0"/>
    <numFmt numFmtId="168" formatCode="0.0%"/>
    <numFmt numFmtId="169" formatCode="&quot;£&quot;#,##0.00"/>
    <numFmt numFmtId="170" formatCode="[$-F800]dddd\,\ mmmm\ dd\,\ yyyy"/>
    <numFmt numFmtId="171" formatCode="_-[$£-809]* #,##0.00_-;\-[$£-809]* #,##0.00_-;_-[$£-809]* &quot;-&quot;??_-;_-@_-"/>
    <numFmt numFmtId="172" formatCode="0.0"/>
    <numFmt numFmtId="173" formatCode="#,##0.00_ ;\-#,##0.00\ "/>
  </numFmts>
  <fonts count="100" x14ac:knownFonts="1">
    <font>
      <sz val="10"/>
      <name val="Arial"/>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11"/>
      <color theme="1" tint="0.249977111117893"/>
      <name val="Calibri"/>
      <family val="2"/>
      <scheme val="minor"/>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b/>
      <i/>
      <sz val="11"/>
      <color rgb="FFFF0000"/>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b/>
      <sz val="10"/>
      <color rgb="FF92D050"/>
      <name val="Arial"/>
      <family val="2"/>
    </font>
    <font>
      <b/>
      <sz val="10"/>
      <color theme="6"/>
      <name val="Arial"/>
      <family val="2"/>
    </font>
    <font>
      <sz val="10"/>
      <color theme="1" tint="0.14999847407452621"/>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s>
  <fills count="28">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rgb="FF00CC00"/>
        <bgColor indexed="64"/>
      </patternFill>
    </fill>
  </fills>
  <borders count="4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right style="thin">
        <color indexed="64"/>
      </right>
      <top style="medium">
        <color indexed="64"/>
      </top>
      <bottom style="medium">
        <color indexed="64"/>
      </bottom>
      <diagonal/>
    </border>
    <border>
      <left style="thin">
        <color auto="1"/>
      </left>
      <right style="thin">
        <color auto="1"/>
      </right>
      <top style="thin">
        <color indexed="64"/>
      </top>
      <bottom style="thin">
        <color auto="1"/>
      </bottom>
      <diagonal/>
    </border>
    <border>
      <left/>
      <right style="thin">
        <color auto="1"/>
      </right>
      <top style="thin">
        <color indexed="64"/>
      </top>
      <bottom style="thin">
        <color auto="1"/>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style="thin">
        <color auto="1"/>
      </bottom>
      <diagonal/>
    </border>
  </borders>
  <cellStyleXfs count="6">
    <xf numFmtId="0" fontId="0" fillId="0" borderId="0"/>
    <xf numFmtId="166" fontId="62" fillId="0" borderId="0"/>
    <xf numFmtId="9" fontId="62" fillId="0" borderId="0"/>
    <xf numFmtId="0" fontId="62" fillId="0" borderId="0"/>
    <xf numFmtId="166" fontId="62" fillId="0" borderId="0"/>
    <xf numFmtId="9" fontId="62" fillId="0" borderId="0"/>
  </cellStyleXfs>
  <cellXfs count="1013">
    <xf numFmtId="0" fontId="0" fillId="0" borderId="0" xfId="0"/>
    <xf numFmtId="166" fontId="7" fillId="5" borderId="0" xfId="0" applyNumberFormat="1" applyFont="1" applyFill="1" applyAlignment="1">
      <alignment horizontal="center" vertical="center" wrapText="1"/>
    </xf>
    <xf numFmtId="0" fontId="7" fillId="5" borderId="0" xfId="0" applyFont="1" applyFill="1" applyAlignment="1">
      <alignment horizontal="center" vertical="center" wrapText="1"/>
    </xf>
    <xf numFmtId="2" fontId="7" fillId="5" borderId="0" xfId="0" applyNumberFormat="1" applyFont="1" applyFill="1" applyAlignment="1">
      <alignment horizontal="center" vertical="center" wrapText="1"/>
    </xf>
    <xf numFmtId="167" fontId="7" fillId="5" borderId="0" xfId="0" applyNumberFormat="1" applyFont="1" applyFill="1" applyAlignment="1">
      <alignment horizontal="center" vertical="center" wrapText="1"/>
    </xf>
    <xf numFmtId="166" fontId="7" fillId="5" borderId="0" xfId="0" applyNumberFormat="1" applyFont="1" applyFill="1" applyAlignment="1">
      <alignment horizontal="center" vertical="center"/>
    </xf>
    <xf numFmtId="1" fontId="7" fillId="5" borderId="0" xfId="0" applyNumberFormat="1" applyFont="1" applyFill="1" applyAlignment="1">
      <alignment horizontal="center" vertical="center" wrapText="1"/>
    </xf>
    <xf numFmtId="0" fontId="9" fillId="5" borderId="0" xfId="0" applyFont="1" applyFill="1" applyAlignment="1">
      <alignment vertical="center" wrapText="1"/>
    </xf>
    <xf numFmtId="0" fontId="7" fillId="0" borderId="0" xfId="0" applyFont="1" applyAlignment="1">
      <alignment horizontal="center" vertical="center" wrapText="1"/>
    </xf>
    <xf numFmtId="1" fontId="7" fillId="0" borderId="0" xfId="0" applyNumberFormat="1" applyFont="1" applyAlignment="1">
      <alignment horizontal="center" vertical="center" wrapText="1"/>
    </xf>
    <xf numFmtId="0" fontId="9" fillId="5" borderId="0" xfId="0" applyFont="1" applyFill="1" applyAlignment="1">
      <alignment horizontal="center" vertical="center" wrapText="1"/>
    </xf>
    <xf numFmtId="166" fontId="7" fillId="0" borderId="0" xfId="0" applyNumberFormat="1" applyFont="1" applyAlignment="1">
      <alignment horizontal="center" vertical="center" wrapText="1"/>
    </xf>
    <xf numFmtId="2" fontId="7" fillId="0" borderId="0" xfId="0" applyNumberFormat="1" applyFont="1" applyAlignment="1">
      <alignment horizontal="center" vertical="center" wrapText="1"/>
    </xf>
    <xf numFmtId="167" fontId="7" fillId="0" borderId="0" xfId="0" applyNumberFormat="1" applyFont="1" applyAlignment="1">
      <alignment horizontal="center" vertical="center" wrapText="1"/>
    </xf>
    <xf numFmtId="166" fontId="7" fillId="0" borderId="0" xfId="0" applyNumberFormat="1" applyFont="1" applyAlignment="1">
      <alignment horizontal="center" vertical="center"/>
    </xf>
    <xf numFmtId="9" fontId="8" fillId="6" borderId="0" xfId="0" applyNumberFormat="1" applyFont="1" applyFill="1" applyAlignment="1">
      <alignment horizontal="center" vertical="center"/>
    </xf>
    <xf numFmtId="0" fontId="7" fillId="2" borderId="0" xfId="0" applyFont="1" applyFill="1" applyAlignment="1">
      <alignment vertical="top" wrapText="1"/>
    </xf>
    <xf numFmtId="0" fontId="7" fillId="2" borderId="0" xfId="0" applyFont="1" applyFill="1" applyAlignment="1">
      <alignment horizontal="center" vertical="top" wrapText="1"/>
    </xf>
    <xf numFmtId="0" fontId="14" fillId="2" borderId="0" xfId="0" applyFont="1" applyFill="1"/>
    <xf numFmtId="2" fontId="7" fillId="2" borderId="0" xfId="0" applyNumberFormat="1" applyFont="1" applyFill="1" applyAlignment="1">
      <alignment horizontal="center" vertical="top" wrapText="1"/>
    </xf>
    <xf numFmtId="167" fontId="7" fillId="2" borderId="0" xfId="0" applyNumberFormat="1" applyFont="1" applyFill="1" applyAlignment="1">
      <alignment horizontal="center" vertical="top" wrapText="1"/>
    </xf>
    <xf numFmtId="167" fontId="7" fillId="2" borderId="0" xfId="0" applyNumberFormat="1" applyFont="1" applyFill="1" applyAlignment="1">
      <alignment horizontal="center"/>
    </xf>
    <xf numFmtId="0" fontId="7" fillId="6" borderId="0" xfId="0" applyFont="1" applyFill="1" applyAlignment="1">
      <alignment horizontal="center" vertical="top" wrapText="1"/>
    </xf>
    <xf numFmtId="0" fontId="14" fillId="6" borderId="0" xfId="0" applyFont="1" applyFill="1"/>
    <xf numFmtId="0" fontId="8" fillId="6" borderId="0" xfId="0" applyFont="1" applyFill="1" applyAlignment="1">
      <alignment vertical="top" wrapText="1"/>
    </xf>
    <xf numFmtId="166" fontId="8" fillId="6" borderId="0" xfId="0" applyNumberFormat="1" applyFont="1" applyFill="1" applyAlignment="1">
      <alignment horizontal="center" vertical="center"/>
    </xf>
    <xf numFmtId="0" fontId="15" fillId="3" borderId="0" xfId="0" applyFont="1" applyFill="1" applyAlignment="1">
      <alignment vertical="center"/>
    </xf>
    <xf numFmtId="1" fontId="9" fillId="5" borderId="0" xfId="0" applyNumberFormat="1" applyFont="1" applyFill="1" applyAlignment="1">
      <alignment horizontal="center" vertical="center" wrapText="1"/>
    </xf>
    <xf numFmtId="0" fontId="14" fillId="3" borderId="0" xfId="0" applyFont="1" applyFill="1" applyAlignment="1">
      <alignment vertical="center" wrapText="1"/>
    </xf>
    <xf numFmtId="1" fontId="14" fillId="3" borderId="0" xfId="0" applyNumberFormat="1" applyFont="1" applyFill="1" applyAlignment="1">
      <alignment horizontal="center" vertical="center"/>
    </xf>
    <xf numFmtId="0" fontId="7" fillId="3" borderId="0" xfId="0" applyFont="1" applyFill="1" applyAlignment="1">
      <alignment vertical="center" wrapText="1"/>
    </xf>
    <xf numFmtId="1" fontId="7" fillId="3" borderId="0" xfId="0" applyNumberFormat="1" applyFont="1" applyFill="1" applyAlignment="1">
      <alignment horizontal="center" vertical="center" wrapText="1"/>
    </xf>
    <xf numFmtId="0" fontId="14" fillId="3" borderId="0" xfId="0" applyFont="1" applyFill="1" applyAlignment="1">
      <alignment vertical="center"/>
    </xf>
    <xf numFmtId="1" fontId="13" fillId="4" borderId="1" xfId="0" applyNumberFormat="1" applyFont="1" applyFill="1" applyBorder="1" applyAlignment="1">
      <alignment horizontal="center" vertical="center" wrapText="1"/>
    </xf>
    <xf numFmtId="1" fontId="8" fillId="0" borderId="0" xfId="0" applyNumberFormat="1" applyFont="1" applyAlignment="1">
      <alignment horizontal="center" vertical="center" wrapText="1"/>
    </xf>
    <xf numFmtId="0" fontId="11" fillId="5" borderId="0" xfId="0" applyFont="1" applyFill="1" applyAlignment="1">
      <alignment vertical="center" wrapText="1"/>
    </xf>
    <xf numFmtId="168" fontId="16" fillId="2" borderId="0" xfId="0" applyNumberFormat="1" applyFont="1" applyFill="1" applyAlignment="1">
      <alignment horizontal="center" vertical="center"/>
    </xf>
    <xf numFmtId="1" fontId="7" fillId="5" borderId="0" xfId="0" applyNumberFormat="1" applyFont="1" applyFill="1" applyAlignment="1">
      <alignment horizontal="center" vertical="center"/>
    </xf>
    <xf numFmtId="0" fontId="8" fillId="6" borderId="0" xfId="0" applyFont="1" applyFill="1" applyAlignment="1">
      <alignment horizontal="center" vertical="center"/>
    </xf>
    <xf numFmtId="9" fontId="8" fillId="6" borderId="0" xfId="2" applyFont="1" applyFill="1" applyAlignment="1">
      <alignment horizontal="center" vertical="center" wrapText="1"/>
    </xf>
    <xf numFmtId="0" fontId="10" fillId="2" borderId="0" xfId="0" applyFont="1" applyFill="1" applyAlignment="1">
      <alignment vertical="center"/>
    </xf>
    <xf numFmtId="0" fontId="9" fillId="2" borderId="0" xfId="0" applyFont="1" applyFill="1" applyAlignment="1">
      <alignment vertical="center"/>
    </xf>
    <xf numFmtId="169" fontId="9" fillId="2" borderId="0" xfId="0" applyNumberFormat="1" applyFont="1" applyFill="1" applyAlignment="1">
      <alignment vertical="center"/>
    </xf>
    <xf numFmtId="167" fontId="10" fillId="2" borderId="0" xfId="0" applyNumberFormat="1" applyFont="1" applyFill="1" applyAlignment="1">
      <alignment vertical="center"/>
    </xf>
    <xf numFmtId="168" fontId="10" fillId="2" borderId="0" xfId="0" applyNumberFormat="1" applyFont="1" applyFill="1" applyAlignment="1">
      <alignment vertical="center"/>
    </xf>
    <xf numFmtId="167" fontId="9" fillId="2" borderId="0" xfId="0" applyNumberFormat="1" applyFont="1" applyFill="1" applyAlignment="1">
      <alignment horizontal="center" vertical="center"/>
    </xf>
    <xf numFmtId="166" fontId="10" fillId="2" borderId="0" xfId="0" applyNumberFormat="1" applyFont="1" applyFill="1" applyAlignment="1">
      <alignment vertical="center"/>
    </xf>
    <xf numFmtId="1" fontId="10" fillId="2" borderId="0" xfId="0" applyNumberFormat="1" applyFont="1" applyFill="1" applyAlignment="1">
      <alignment horizontal="center" vertical="center"/>
    </xf>
    <xf numFmtId="169" fontId="10" fillId="2" borderId="0" xfId="0" applyNumberFormat="1" applyFont="1" applyFill="1" applyAlignment="1">
      <alignment vertical="center"/>
    </xf>
    <xf numFmtId="0" fontId="22" fillId="2" borderId="0" xfId="0" applyFont="1" applyFill="1" applyAlignment="1">
      <alignment vertical="center"/>
    </xf>
    <xf numFmtId="0" fontId="9" fillId="2" borderId="0" xfId="0" applyFont="1" applyFill="1" applyAlignment="1">
      <alignment vertical="center" wrapText="1"/>
    </xf>
    <xf numFmtId="0" fontId="10" fillId="2" borderId="0" xfId="0" applyFont="1" applyFill="1" applyAlignment="1">
      <alignment horizontal="center" vertical="center"/>
    </xf>
    <xf numFmtId="164" fontId="10" fillId="2" borderId="0" xfId="0" applyNumberFormat="1" applyFont="1" applyFill="1" applyAlignment="1">
      <alignment vertical="center"/>
    </xf>
    <xf numFmtId="166" fontId="10" fillId="2" borderId="0" xfId="1" applyFont="1" applyFill="1" applyAlignment="1">
      <alignment vertical="center"/>
    </xf>
    <xf numFmtId="0" fontId="11" fillId="5" borderId="0" xfId="0" applyFont="1" applyFill="1" applyAlignment="1">
      <alignment horizontal="center" vertical="center" wrapText="1"/>
    </xf>
    <xf numFmtId="0" fontId="10" fillId="2" borderId="0" xfId="3" applyFont="1" applyFill="1" applyAlignment="1">
      <alignment vertical="center"/>
    </xf>
    <xf numFmtId="0" fontId="10" fillId="2" borderId="0" xfId="3" applyFont="1" applyFill="1" applyAlignment="1">
      <alignment horizontal="center" vertical="center"/>
    </xf>
    <xf numFmtId="0" fontId="7" fillId="6" borderId="0" xfId="3" applyFont="1" applyFill="1" applyAlignment="1">
      <alignment horizontal="center" vertical="center" wrapText="1"/>
    </xf>
    <xf numFmtId="166" fontId="8" fillId="6" borderId="0" xfId="3" applyNumberFormat="1" applyFont="1" applyFill="1" applyAlignment="1">
      <alignment horizontal="center" vertical="center" wrapText="1"/>
    </xf>
    <xf numFmtId="169" fontId="21" fillId="2" borderId="0" xfId="3" applyNumberFormat="1" applyFont="1" applyFill="1" applyAlignment="1">
      <alignment vertical="center"/>
    </xf>
    <xf numFmtId="169" fontId="10" fillId="2" borderId="0" xfId="3" applyNumberFormat="1" applyFont="1" applyFill="1" applyAlignment="1">
      <alignment vertical="center"/>
    </xf>
    <xf numFmtId="0" fontId="11" fillId="2" borderId="0" xfId="3" applyFont="1" applyFill="1" applyAlignment="1">
      <alignment horizontal="center" vertical="center" wrapText="1"/>
    </xf>
    <xf numFmtId="166" fontId="21" fillId="2" borderId="0" xfId="0" applyNumberFormat="1" applyFont="1" applyFill="1" applyAlignment="1">
      <alignment vertical="center"/>
    </xf>
    <xf numFmtId="0" fontId="21" fillId="2" borderId="0" xfId="3" applyFont="1" applyFill="1" applyAlignment="1">
      <alignment vertical="center" wrapText="1"/>
    </xf>
    <xf numFmtId="0" fontId="10" fillId="2" borderId="0" xfId="3" applyFont="1" applyFill="1" applyAlignment="1">
      <alignment vertical="center" wrapText="1"/>
    </xf>
    <xf numFmtId="0" fontId="10" fillId="2" borderId="0" xfId="3" applyFont="1" applyFill="1" applyAlignment="1">
      <alignment horizontal="center" vertical="center" wrapText="1"/>
    </xf>
    <xf numFmtId="169" fontId="10" fillId="2" borderId="0" xfId="3" applyNumberFormat="1" applyFont="1" applyFill="1" applyAlignment="1">
      <alignment vertical="center" wrapText="1"/>
    </xf>
    <xf numFmtId="9" fontId="10" fillId="2" borderId="0" xfId="3" applyNumberFormat="1" applyFont="1" applyFill="1" applyAlignment="1">
      <alignment vertical="center" wrapText="1"/>
    </xf>
    <xf numFmtId="169" fontId="10" fillId="3" borderId="0" xfId="3" applyNumberFormat="1" applyFont="1" applyFill="1" applyAlignment="1">
      <alignment vertical="center"/>
    </xf>
    <xf numFmtId="167" fontId="10" fillId="2" borderId="0" xfId="3" applyNumberFormat="1" applyFont="1" applyFill="1" applyAlignment="1">
      <alignment vertical="center"/>
    </xf>
    <xf numFmtId="167" fontId="9" fillId="2" borderId="0" xfId="3" applyNumberFormat="1" applyFont="1" applyFill="1" applyAlignment="1">
      <alignment vertical="center"/>
    </xf>
    <xf numFmtId="166" fontId="11" fillId="0" borderId="0" xfId="0" applyNumberFormat="1" applyFont="1" applyAlignment="1">
      <alignment vertical="center"/>
    </xf>
    <xf numFmtId="166" fontId="21" fillId="0" borderId="0" xfId="0" applyNumberFormat="1" applyFont="1" applyAlignment="1">
      <alignment vertical="center"/>
    </xf>
    <xf numFmtId="0" fontId="11" fillId="0" borderId="0" xfId="0" applyFont="1" applyAlignment="1">
      <alignment vertical="center" wrapText="1"/>
    </xf>
    <xf numFmtId="0" fontId="21" fillId="0" borderId="0" xfId="0" applyFont="1" applyAlignment="1">
      <alignment vertical="center"/>
    </xf>
    <xf numFmtId="0" fontId="7" fillId="0" borderId="0" xfId="0" applyFont="1" applyAlignment="1">
      <alignment vertical="center"/>
    </xf>
    <xf numFmtId="0" fontId="11" fillId="3" borderId="0" xfId="3" applyFont="1" applyFill="1" applyAlignment="1">
      <alignment vertical="center" wrapText="1"/>
    </xf>
    <xf numFmtId="0" fontId="21" fillId="3" borderId="0" xfId="3" applyFont="1" applyFill="1" applyAlignment="1">
      <alignment vertical="center"/>
    </xf>
    <xf numFmtId="169" fontId="21" fillId="3" borderId="0" xfId="3" applyNumberFormat="1" applyFont="1" applyFill="1" applyAlignment="1">
      <alignment vertical="center"/>
    </xf>
    <xf numFmtId="0" fontId="11" fillId="4" borderId="1" xfId="3" applyFont="1" applyFill="1" applyBorder="1" applyAlignment="1">
      <alignment vertical="center" wrapText="1"/>
    </xf>
    <xf numFmtId="0" fontId="8" fillId="6" borderId="0" xfId="3" applyFont="1" applyFill="1" applyAlignment="1">
      <alignment vertical="center" wrapText="1"/>
    </xf>
    <xf numFmtId="0" fontId="8" fillId="6" borderId="0" xfId="3" applyFont="1" applyFill="1" applyAlignment="1">
      <alignment horizontal="center" vertical="center" wrapText="1"/>
    </xf>
    <xf numFmtId="0" fontId="16" fillId="2" borderId="1" xfId="3" applyFont="1" applyFill="1" applyBorder="1" applyAlignment="1">
      <alignment horizontal="center" vertical="center" wrapText="1"/>
    </xf>
    <xf numFmtId="0" fontId="10" fillId="3" borderId="0" xfId="3" applyFont="1" applyFill="1" applyAlignment="1">
      <alignment vertical="center"/>
    </xf>
    <xf numFmtId="0" fontId="10" fillId="3" borderId="0" xfId="3" applyFont="1" applyFill="1" applyAlignment="1">
      <alignment horizontal="center" vertical="center"/>
    </xf>
    <xf numFmtId="169" fontId="13" fillId="4" borderId="1" xfId="3" applyNumberFormat="1" applyFont="1" applyFill="1" applyBorder="1" applyAlignment="1">
      <alignment vertical="center"/>
    </xf>
    <xf numFmtId="0" fontId="18" fillId="3" borderId="0" xfId="3" applyFont="1" applyFill="1" applyAlignment="1">
      <alignment horizontal="center" vertical="center" wrapText="1"/>
    </xf>
    <xf numFmtId="0" fontId="13" fillId="3" borderId="6" xfId="3" applyFont="1" applyFill="1" applyBorder="1" applyAlignment="1">
      <alignment vertical="center" wrapText="1"/>
    </xf>
    <xf numFmtId="0" fontId="17" fillId="3" borderId="6" xfId="3" applyFont="1" applyFill="1" applyBorder="1" applyAlignment="1">
      <alignment horizontal="center" vertical="center" wrapText="1"/>
    </xf>
    <xf numFmtId="166" fontId="8" fillId="2" borderId="0" xfId="0" applyNumberFormat="1" applyFont="1" applyFill="1" applyAlignment="1">
      <alignment horizontal="center" vertical="center"/>
    </xf>
    <xf numFmtId="0" fontId="23" fillId="5" borderId="1" xfId="3" applyFont="1" applyFill="1" applyBorder="1" applyAlignment="1">
      <alignment horizontal="center" vertical="center" wrapText="1"/>
    </xf>
    <xf numFmtId="9" fontId="13" fillId="2" borderId="0" xfId="0" applyNumberFormat="1" applyFont="1" applyFill="1" applyAlignment="1">
      <alignment horizontal="center" vertical="center" wrapText="1"/>
    </xf>
    <xf numFmtId="0" fontId="14" fillId="2" borderId="0" xfId="0" applyFont="1" applyFill="1" applyAlignment="1">
      <alignment vertical="center"/>
    </xf>
    <xf numFmtId="0" fontId="7" fillId="2" borderId="0" xfId="0" applyFont="1" applyFill="1" applyAlignment="1">
      <alignment vertical="center"/>
    </xf>
    <xf numFmtId="169" fontId="7" fillId="2" borderId="0" xfId="0" applyNumberFormat="1" applyFont="1" applyFill="1" applyAlignment="1">
      <alignment vertical="center"/>
    </xf>
    <xf numFmtId="167" fontId="14" fillId="2" borderId="0" xfId="0" applyNumberFormat="1" applyFont="1" applyFill="1" applyAlignment="1">
      <alignment vertical="center"/>
    </xf>
    <xf numFmtId="168" fontId="14" fillId="2" borderId="0" xfId="0" applyNumberFormat="1" applyFont="1" applyFill="1" applyAlignment="1">
      <alignment vertical="center"/>
    </xf>
    <xf numFmtId="0" fontId="21" fillId="2" borderId="0" xfId="0" applyFont="1" applyFill="1" applyAlignment="1">
      <alignment vertical="center"/>
    </xf>
    <xf numFmtId="167" fontId="11" fillId="2" borderId="0" xfId="0" applyNumberFormat="1" applyFont="1" applyFill="1" applyAlignment="1">
      <alignment vertical="center"/>
    </xf>
    <xf numFmtId="166" fontId="7" fillId="2" borderId="0" xfId="0" applyNumberFormat="1" applyFont="1" applyFill="1" applyAlignment="1">
      <alignment vertical="center"/>
    </xf>
    <xf numFmtId="169" fontId="14" fillId="2" borderId="0" xfId="0" applyNumberFormat="1" applyFont="1" applyFill="1" applyAlignment="1">
      <alignment vertical="center"/>
    </xf>
    <xf numFmtId="0" fontId="26" fillId="2" borderId="0" xfId="0" applyFont="1" applyFill="1" applyAlignment="1">
      <alignment vertical="center"/>
    </xf>
    <xf numFmtId="0" fontId="11" fillId="2" borderId="0" xfId="0" applyFont="1" applyFill="1" applyAlignment="1">
      <alignment vertical="center" wrapText="1"/>
    </xf>
    <xf numFmtId="166" fontId="11" fillId="2" borderId="0" xfId="0" applyNumberFormat="1" applyFont="1" applyFill="1" applyAlignment="1">
      <alignment horizontal="right" vertical="center"/>
    </xf>
    <xf numFmtId="166" fontId="21" fillId="2" borderId="0" xfId="0" applyNumberFormat="1" applyFont="1" applyFill="1" applyAlignment="1">
      <alignment horizontal="right" vertical="center"/>
    </xf>
    <xf numFmtId="164" fontId="14" fillId="2" borderId="0" xfId="0" applyNumberFormat="1" applyFont="1" applyFill="1" applyAlignment="1">
      <alignment vertical="center"/>
    </xf>
    <xf numFmtId="166" fontId="14" fillId="2" borderId="0" xfId="1" applyFont="1" applyFill="1" applyAlignment="1">
      <alignment vertical="center"/>
    </xf>
    <xf numFmtId="170" fontId="14" fillId="2" borderId="0" xfId="0" applyNumberFormat="1" applyFont="1" applyFill="1" applyAlignment="1">
      <alignment vertical="center"/>
    </xf>
    <xf numFmtId="0" fontId="24" fillId="2" borderId="0" xfId="0" applyFont="1" applyFill="1" applyAlignment="1">
      <alignment vertical="top" wrapText="1"/>
    </xf>
    <xf numFmtId="0" fontId="24" fillId="2" borderId="0" xfId="0" applyFont="1" applyFill="1" applyAlignment="1">
      <alignment horizontal="center" vertical="top" wrapText="1"/>
    </xf>
    <xf numFmtId="0" fontId="25" fillId="2" borderId="0" xfId="0" applyFont="1" applyFill="1" applyAlignment="1">
      <alignment vertical="top" wrapText="1"/>
    </xf>
    <xf numFmtId="0" fontId="24" fillId="2" borderId="0" xfId="0" applyFont="1" applyFill="1"/>
    <xf numFmtId="169" fontId="24" fillId="2" borderId="0" xfId="0" applyNumberFormat="1" applyFont="1" applyFill="1"/>
    <xf numFmtId="0" fontId="25" fillId="2" borderId="0" xfId="0" applyFont="1" applyFill="1"/>
    <xf numFmtId="0" fontId="25" fillId="2" borderId="0" xfId="0" applyFont="1" applyFill="1" applyAlignment="1">
      <alignment horizontal="center"/>
    </xf>
    <xf numFmtId="169" fontId="25" fillId="2" borderId="0" xfId="0" applyNumberFormat="1" applyFont="1" applyFill="1"/>
    <xf numFmtId="0" fontId="27" fillId="2" borderId="0" xfId="0" applyFont="1" applyFill="1" applyAlignment="1">
      <alignment horizontal="center" vertical="top" wrapText="1"/>
    </xf>
    <xf numFmtId="169" fontId="24" fillId="2" borderId="0" xfId="0" applyNumberFormat="1" applyFont="1" applyFill="1" applyAlignment="1">
      <alignment horizontal="center"/>
    </xf>
    <xf numFmtId="0" fontId="28" fillId="2" borderId="0" xfId="0" applyFont="1" applyFill="1" applyAlignment="1">
      <alignment vertical="center"/>
    </xf>
    <xf numFmtId="167" fontId="28" fillId="2" borderId="0" xfId="0" applyNumberFormat="1" applyFont="1" applyFill="1" applyAlignment="1">
      <alignment vertical="center"/>
    </xf>
    <xf numFmtId="168" fontId="28" fillId="2" borderId="0" xfId="0" applyNumberFormat="1" applyFont="1" applyFill="1" applyAlignment="1">
      <alignment vertical="center"/>
    </xf>
    <xf numFmtId="9" fontId="8" fillId="6" borderId="0" xfId="3" applyNumberFormat="1" applyFont="1" applyFill="1" applyAlignment="1">
      <alignment horizontal="center" vertical="center" wrapText="1"/>
    </xf>
    <xf numFmtId="166" fontId="7" fillId="2" borderId="0" xfId="0" applyNumberFormat="1" applyFont="1" applyFill="1" applyAlignment="1">
      <alignment horizontal="center" vertical="center"/>
    </xf>
    <xf numFmtId="166" fontId="8" fillId="6" borderId="0" xfId="1" applyFont="1" applyFill="1" applyAlignment="1">
      <alignment horizontal="center" vertical="center" wrapText="1"/>
    </xf>
    <xf numFmtId="9" fontId="16" fillId="2" borderId="0" xfId="2" applyFont="1" applyFill="1" applyAlignment="1">
      <alignment horizontal="center" vertical="center" wrapText="1"/>
    </xf>
    <xf numFmtId="0" fontId="13" fillId="3" borderId="0" xfId="0" applyFont="1" applyFill="1" applyAlignment="1">
      <alignment horizontal="center" vertical="center"/>
    </xf>
    <xf numFmtId="0" fontId="13" fillId="3" borderId="0" xfId="0" applyFont="1" applyFill="1" applyAlignment="1">
      <alignment vertical="center"/>
    </xf>
    <xf numFmtId="1" fontId="23" fillId="3" borderId="0" xfId="0" applyNumberFormat="1" applyFont="1" applyFill="1" applyAlignment="1">
      <alignment horizontal="center" vertical="center"/>
    </xf>
    <xf numFmtId="166" fontId="21" fillId="2" borderId="0" xfId="4" applyFont="1" applyFill="1"/>
    <xf numFmtId="0" fontId="21" fillId="2" borderId="0" xfId="0" applyFont="1" applyFill="1"/>
    <xf numFmtId="168" fontId="21" fillId="2" borderId="0" xfId="0" applyNumberFormat="1" applyFont="1" applyFill="1"/>
    <xf numFmtId="0" fontId="11" fillId="2" borderId="0" xfId="0" applyFont="1" applyFill="1"/>
    <xf numFmtId="0" fontId="11" fillId="2" borderId="0" xfId="0" applyFont="1" applyFill="1" applyAlignment="1">
      <alignment horizontal="center" vertical="top"/>
    </xf>
    <xf numFmtId="0" fontId="21" fillId="2" borderId="0" xfId="0" applyFont="1" applyFill="1" applyAlignment="1">
      <alignment horizontal="left"/>
    </xf>
    <xf numFmtId="1" fontId="21" fillId="2" borderId="0" xfId="0" applyNumberFormat="1" applyFont="1" applyFill="1" applyAlignment="1">
      <alignment horizontal="center"/>
    </xf>
    <xf numFmtId="0" fontId="11" fillId="2" borderId="0" xfId="0" applyFont="1" applyFill="1" applyAlignment="1">
      <alignment horizontal="left"/>
    </xf>
    <xf numFmtId="2" fontId="11" fillId="2" borderId="0" xfId="0" applyNumberFormat="1" applyFont="1" applyFill="1" applyAlignment="1">
      <alignment horizontal="center" vertical="top"/>
    </xf>
    <xf numFmtId="168" fontId="11" fillId="2" borderId="0" xfId="0" applyNumberFormat="1" applyFont="1" applyFill="1"/>
    <xf numFmtId="0" fontId="8" fillId="6" borderId="0" xfId="0" applyFont="1" applyFill="1" applyAlignment="1">
      <alignment horizontal="center" vertical="top" wrapText="1"/>
    </xf>
    <xf numFmtId="167" fontId="12" fillId="3" borderId="0" xfId="0" applyNumberFormat="1" applyFont="1" applyFill="1"/>
    <xf numFmtId="0" fontId="21" fillId="3" borderId="0" xfId="0" applyFont="1" applyFill="1" applyAlignment="1">
      <alignment horizontal="center"/>
    </xf>
    <xf numFmtId="0" fontId="21" fillId="3" borderId="0" xfId="0" applyFont="1" applyFill="1"/>
    <xf numFmtId="1" fontId="21" fillId="3" borderId="0" xfId="0" applyNumberFormat="1" applyFont="1" applyFill="1" applyAlignment="1">
      <alignment horizontal="center"/>
    </xf>
    <xf numFmtId="0" fontId="21" fillId="7" borderId="0" xfId="0" applyFont="1" applyFill="1"/>
    <xf numFmtId="166" fontId="21" fillId="7" borderId="0" xfId="0" applyNumberFormat="1" applyFont="1" applyFill="1" applyAlignment="1">
      <alignment horizontal="center"/>
    </xf>
    <xf numFmtId="0" fontId="21" fillId="7" borderId="0" xfId="0" applyFont="1" applyFill="1" applyAlignment="1">
      <alignment horizontal="right"/>
    </xf>
    <xf numFmtId="166" fontId="21" fillId="7" borderId="0" xfId="4" applyFont="1" applyFill="1" applyAlignment="1">
      <alignment horizontal="center"/>
    </xf>
    <xf numFmtId="1" fontId="21" fillId="7" borderId="0" xfId="0" applyNumberFormat="1" applyFont="1" applyFill="1" applyAlignment="1">
      <alignment horizontal="center"/>
    </xf>
    <xf numFmtId="167" fontId="21" fillId="7" borderId="0" xfId="0" applyNumberFormat="1" applyFont="1" applyFill="1" applyAlignment="1">
      <alignment horizontal="center"/>
    </xf>
    <xf numFmtId="0" fontId="21" fillId="7" borderId="0" xfId="0" applyFont="1" applyFill="1" applyAlignment="1">
      <alignment horizontal="center"/>
    </xf>
    <xf numFmtId="0" fontId="20" fillId="2" borderId="0" xfId="0" applyFont="1" applyFill="1" applyAlignment="1">
      <alignment horizontal="center" vertical="center"/>
    </xf>
    <xf numFmtId="0" fontId="7" fillId="3" borderId="0" xfId="0" applyFont="1" applyFill="1" applyAlignment="1">
      <alignment vertical="center"/>
    </xf>
    <xf numFmtId="0" fontId="14" fillId="0" borderId="0" xfId="0" applyFont="1" applyAlignment="1">
      <alignment vertical="center"/>
    </xf>
    <xf numFmtId="169" fontId="7" fillId="0" borderId="0" xfId="0" applyNumberFormat="1" applyFont="1" applyAlignment="1">
      <alignment vertical="center"/>
    </xf>
    <xf numFmtId="167" fontId="14" fillId="0" borderId="0" xfId="0" applyNumberFormat="1" applyFont="1" applyAlignment="1">
      <alignment vertical="center"/>
    </xf>
    <xf numFmtId="168" fontId="14" fillId="0" borderId="0" xfId="0" applyNumberFormat="1" applyFont="1" applyAlignment="1">
      <alignment vertical="center"/>
    </xf>
    <xf numFmtId="167" fontId="11" fillId="0" borderId="0" xfId="0" applyNumberFormat="1" applyFont="1" applyAlignment="1">
      <alignment vertical="center"/>
    </xf>
    <xf numFmtId="1" fontId="21" fillId="0" borderId="0" xfId="0" applyNumberFormat="1" applyFont="1" applyAlignment="1">
      <alignment horizontal="center" vertical="center"/>
    </xf>
    <xf numFmtId="167" fontId="21" fillId="0" borderId="0" xfId="0" applyNumberFormat="1" applyFont="1" applyAlignment="1">
      <alignment vertical="center" wrapText="1"/>
    </xf>
    <xf numFmtId="166" fontId="7" fillId="0" borderId="0" xfId="0" applyNumberFormat="1" applyFont="1" applyAlignment="1">
      <alignment vertical="center"/>
    </xf>
    <xf numFmtId="169" fontId="14" fillId="0" borderId="0" xfId="0" applyNumberFormat="1" applyFont="1" applyAlignment="1">
      <alignment vertical="center"/>
    </xf>
    <xf numFmtId="0" fontId="26" fillId="0" borderId="0" xfId="0" applyFont="1" applyAlignment="1">
      <alignment vertical="center"/>
    </xf>
    <xf numFmtId="2" fontId="21" fillId="0" borderId="0" xfId="0" applyNumberFormat="1" applyFont="1" applyAlignment="1">
      <alignment vertical="center"/>
    </xf>
    <xf numFmtId="0" fontId="14" fillId="0" borderId="0" xfId="0" applyFont="1" applyAlignment="1">
      <alignment horizontal="center" vertical="center"/>
    </xf>
    <xf numFmtId="164" fontId="14" fillId="0" borderId="0" xfId="0" applyNumberFormat="1" applyFont="1" applyAlignment="1">
      <alignment vertical="center"/>
    </xf>
    <xf numFmtId="0" fontId="11" fillId="0" borderId="0" xfId="0" applyFont="1" applyAlignment="1">
      <alignment vertical="center"/>
    </xf>
    <xf numFmtId="166" fontId="14" fillId="0" borderId="0" xfId="1" applyFont="1" applyAlignment="1">
      <alignment vertical="center"/>
    </xf>
    <xf numFmtId="170" fontId="14" fillId="0" borderId="0" xfId="0" applyNumberFormat="1" applyFont="1" applyAlignment="1">
      <alignment vertical="center"/>
    </xf>
    <xf numFmtId="1" fontId="14" fillId="0" borderId="0" xfId="0" applyNumberFormat="1" applyFont="1" applyAlignment="1">
      <alignment horizontal="center" vertical="center"/>
    </xf>
    <xf numFmtId="1" fontId="7" fillId="0" borderId="0" xfId="0" applyNumberFormat="1" applyFont="1" applyAlignment="1">
      <alignment horizontal="center" vertical="center"/>
    </xf>
    <xf numFmtId="164" fontId="7" fillId="0" borderId="0" xfId="0" applyNumberFormat="1" applyFont="1" applyAlignment="1">
      <alignment vertical="center"/>
    </xf>
    <xf numFmtId="1" fontId="8" fillId="6" borderId="0" xfId="0" applyNumberFormat="1" applyFont="1" applyFill="1" applyAlignment="1">
      <alignment horizontal="center" vertical="center" wrapText="1"/>
    </xf>
    <xf numFmtId="0" fontId="8" fillId="6" borderId="0" xfId="0" applyFont="1" applyFill="1" applyAlignment="1">
      <alignment horizontal="center" vertical="center" wrapText="1"/>
    </xf>
    <xf numFmtId="166" fontId="7" fillId="6" borderId="0" xfId="0" applyNumberFormat="1" applyFont="1" applyFill="1" applyAlignment="1">
      <alignment horizontal="center" vertical="center" wrapText="1"/>
    </xf>
    <xf numFmtId="0" fontId="7" fillId="0" borderId="0" xfId="0" applyFont="1" applyAlignment="1">
      <alignment vertical="center" wrapText="1"/>
    </xf>
    <xf numFmtId="9" fontId="7" fillId="0" borderId="0" xfId="0" applyNumberFormat="1" applyFont="1" applyAlignment="1">
      <alignment horizontal="center" vertical="center" wrapText="1"/>
    </xf>
    <xf numFmtId="0" fontId="8" fillId="6" borderId="0" xfId="0" applyFont="1" applyFill="1" applyAlignment="1">
      <alignment vertical="center" wrapText="1"/>
    </xf>
    <xf numFmtId="1" fontId="7" fillId="4" borderId="1" xfId="0" applyNumberFormat="1" applyFont="1" applyFill="1" applyBorder="1" applyAlignment="1">
      <alignment horizontal="center" vertical="center" wrapText="1"/>
    </xf>
    <xf numFmtId="0" fontId="14" fillId="0" borderId="0" xfId="0" applyFont="1" applyAlignment="1">
      <alignment vertical="center" wrapText="1"/>
    </xf>
    <xf numFmtId="1" fontId="14" fillId="0" borderId="0" xfId="0" applyNumberFormat="1" applyFont="1" applyAlignment="1">
      <alignment horizontal="center" vertical="center" wrapText="1"/>
    </xf>
    <xf numFmtId="167" fontId="7" fillId="0" borderId="0" xfId="0" applyNumberFormat="1" applyFont="1" applyAlignment="1">
      <alignment vertical="center"/>
    </xf>
    <xf numFmtId="0" fontId="14" fillId="5" borderId="0" xfId="3" applyFont="1" applyFill="1" applyAlignment="1">
      <alignment horizontal="center" vertical="center"/>
    </xf>
    <xf numFmtId="0" fontId="20" fillId="5" borderId="0" xfId="3" applyFont="1" applyFill="1" applyAlignment="1">
      <alignment horizontal="center" vertical="center"/>
    </xf>
    <xf numFmtId="166" fontId="8" fillId="5" borderId="0" xfId="3" applyNumberFormat="1" applyFont="1" applyFill="1" applyAlignment="1">
      <alignment horizontal="center" vertical="center" wrapText="1"/>
    </xf>
    <xf numFmtId="9" fontId="8" fillId="5" borderId="0" xfId="2" applyFont="1" applyFill="1" applyAlignment="1">
      <alignment horizontal="center" vertical="center" wrapText="1"/>
    </xf>
    <xf numFmtId="1" fontId="14" fillId="5" borderId="1" xfId="0" applyNumberFormat="1" applyFont="1" applyFill="1" applyBorder="1" applyAlignment="1">
      <alignment horizontal="center" vertical="center" wrapText="1"/>
    </xf>
    <xf numFmtId="0" fontId="13" fillId="4" borderId="1" xfId="0" applyFont="1" applyFill="1" applyBorder="1" applyAlignment="1">
      <alignment horizontal="center" vertical="top" wrapText="1"/>
    </xf>
    <xf numFmtId="0" fontId="25" fillId="3" borderId="0" xfId="0" applyFont="1" applyFill="1"/>
    <xf numFmtId="0" fontId="25" fillId="3" borderId="0" xfId="0" applyFont="1" applyFill="1" applyAlignment="1">
      <alignment horizontal="left" vertical="top" wrapText="1"/>
    </xf>
    <xf numFmtId="0" fontId="25" fillId="3" borderId="0" xfId="0" applyFont="1" applyFill="1" applyAlignment="1">
      <alignment horizontal="left"/>
    </xf>
    <xf numFmtId="0" fontId="24" fillId="3" borderId="0" xfId="0" applyFont="1" applyFill="1" applyAlignment="1">
      <alignment horizontal="left" vertical="top" wrapText="1"/>
    </xf>
    <xf numFmtId="166" fontId="13" fillId="3" borderId="0" xfId="0" applyNumberFormat="1" applyFont="1" applyFill="1" applyAlignment="1">
      <alignment horizontal="center" vertical="center"/>
    </xf>
    <xf numFmtId="167" fontId="7" fillId="2" borderId="0" xfId="0" applyNumberFormat="1" applyFont="1" applyFill="1" applyAlignment="1">
      <alignment horizontal="center" vertical="center"/>
    </xf>
    <xf numFmtId="166" fontId="14" fillId="2" borderId="0" xfId="0" applyNumberFormat="1" applyFont="1" applyFill="1" applyAlignment="1">
      <alignment horizontal="center" vertical="center"/>
    </xf>
    <xf numFmtId="0" fontId="7" fillId="2" borderId="0" xfId="0" applyFont="1" applyFill="1" applyAlignment="1">
      <alignment vertical="center" wrapText="1"/>
    </xf>
    <xf numFmtId="0" fontId="14" fillId="2" borderId="0" xfId="0" applyFont="1" applyFill="1" applyAlignment="1">
      <alignment horizontal="center" vertical="center"/>
    </xf>
    <xf numFmtId="0" fontId="7" fillId="2" borderId="0" xfId="0" applyFont="1" applyFill="1" applyAlignment="1">
      <alignment horizontal="center" vertical="center" wrapText="1"/>
    </xf>
    <xf numFmtId="166" fontId="7" fillId="2" borderId="0" xfId="0" applyNumberFormat="1" applyFont="1" applyFill="1" applyAlignment="1">
      <alignment horizontal="center" vertical="center" wrapText="1"/>
    </xf>
    <xf numFmtId="167" fontId="14" fillId="2" borderId="0" xfId="0" applyNumberFormat="1" applyFont="1" applyFill="1" applyAlignment="1">
      <alignment horizontal="center" vertical="center"/>
    </xf>
    <xf numFmtId="0" fontId="14" fillId="2" borderId="0" xfId="0" applyFont="1" applyFill="1" applyAlignment="1">
      <alignment vertical="top" wrapText="1"/>
    </xf>
    <xf numFmtId="166" fontId="14" fillId="2" borderId="0" xfId="0" applyNumberFormat="1" applyFont="1" applyFill="1" applyAlignment="1">
      <alignment horizontal="center" vertical="top" wrapText="1"/>
    </xf>
    <xf numFmtId="9" fontId="7" fillId="2" borderId="0" xfId="0" applyNumberFormat="1" applyFont="1" applyFill="1" applyAlignment="1">
      <alignment horizontal="center" vertical="top" wrapText="1"/>
    </xf>
    <xf numFmtId="9" fontId="7" fillId="0" borderId="0" xfId="0" applyNumberFormat="1" applyFont="1" applyAlignment="1">
      <alignment horizontal="center" vertical="center"/>
    </xf>
    <xf numFmtId="166" fontId="7" fillId="2" borderId="0" xfId="1" applyFont="1" applyFill="1" applyAlignment="1">
      <alignment vertical="center" wrapText="1"/>
    </xf>
    <xf numFmtId="0" fontId="14" fillId="3" borderId="0" xfId="0" applyFont="1" applyFill="1" applyAlignment="1">
      <alignment vertical="top" wrapText="1"/>
    </xf>
    <xf numFmtId="0" fontId="7" fillId="3" borderId="0" xfId="0" applyFont="1" applyFill="1" applyAlignment="1">
      <alignment vertical="top" wrapText="1"/>
    </xf>
    <xf numFmtId="0" fontId="7" fillId="3" borderId="0" xfId="3" applyFont="1" applyFill="1" applyAlignment="1">
      <alignment vertical="center" wrapText="1"/>
    </xf>
    <xf numFmtId="0" fontId="30" fillId="3" borderId="0" xfId="0" applyFont="1" applyFill="1" applyAlignment="1">
      <alignment horizontal="left" vertical="top" wrapText="1"/>
    </xf>
    <xf numFmtId="0" fontId="7" fillId="2" borderId="0" xfId="0" applyFont="1" applyFill="1" applyAlignment="1">
      <alignment horizontal="right" vertical="top" wrapText="1"/>
    </xf>
    <xf numFmtId="0" fontId="14" fillId="2" borderId="0" xfId="0" applyFont="1" applyFill="1" applyAlignment="1">
      <alignment horizontal="right" vertical="top" wrapText="1"/>
    </xf>
    <xf numFmtId="0" fontId="14" fillId="2" borderId="0" xfId="0" applyFont="1" applyFill="1" applyAlignment="1">
      <alignment horizontal="center"/>
    </xf>
    <xf numFmtId="169" fontId="7" fillId="2" borderId="0" xfId="0" applyNumberFormat="1" applyFont="1" applyFill="1" applyAlignment="1">
      <alignment horizontal="center" vertical="top" wrapText="1"/>
    </xf>
    <xf numFmtId="167" fontId="14" fillId="2" borderId="0" xfId="0" applyNumberFormat="1" applyFont="1" applyFill="1"/>
    <xf numFmtId="169" fontId="14" fillId="2" borderId="0" xfId="0" applyNumberFormat="1" applyFont="1" applyFill="1" applyAlignment="1">
      <alignment horizontal="center"/>
    </xf>
    <xf numFmtId="167" fontId="7" fillId="2" borderId="0" xfId="0" applyNumberFormat="1" applyFont="1" applyFill="1"/>
    <xf numFmtId="169" fontId="14" fillId="3" borderId="0" xfId="0" applyNumberFormat="1" applyFont="1" applyFill="1" applyAlignment="1">
      <alignment vertical="top" wrapText="1"/>
    </xf>
    <xf numFmtId="0" fontId="14" fillId="3" borderId="0" xfId="0" applyFont="1" applyFill="1"/>
    <xf numFmtId="0" fontId="14" fillId="3" borderId="0" xfId="0" applyFont="1" applyFill="1" applyAlignment="1">
      <alignment horizontal="left" vertical="top" wrapText="1"/>
    </xf>
    <xf numFmtId="0" fontId="7" fillId="2" borderId="0" xfId="0" applyFont="1" applyFill="1" applyAlignment="1">
      <alignment horizontal="left" vertical="center"/>
    </xf>
    <xf numFmtId="0" fontId="7" fillId="2" borderId="0" xfId="0" applyFont="1" applyFill="1" applyAlignment="1">
      <alignment horizontal="center" vertical="center"/>
    </xf>
    <xf numFmtId="0" fontId="7" fillId="2" borderId="0" xfId="0" applyFont="1" applyFill="1"/>
    <xf numFmtId="0" fontId="7" fillId="4" borderId="1" xfId="0" applyFont="1" applyFill="1" applyBorder="1" applyAlignment="1">
      <alignment horizontal="center" vertical="top" wrapText="1"/>
    </xf>
    <xf numFmtId="1" fontId="7" fillId="4" borderId="1" xfId="0" applyNumberFormat="1" applyFont="1" applyFill="1" applyBorder="1" applyAlignment="1">
      <alignment horizontal="center" vertical="top" wrapText="1"/>
    </xf>
    <xf numFmtId="0" fontId="7" fillId="4" borderId="1" xfId="0" applyFont="1" applyFill="1" applyBorder="1" applyAlignment="1">
      <alignment vertical="top" wrapText="1"/>
    </xf>
    <xf numFmtId="0" fontId="7" fillId="4" borderId="1" xfId="3" applyFont="1" applyFill="1" applyBorder="1" applyAlignment="1">
      <alignment vertical="center" wrapText="1"/>
    </xf>
    <xf numFmtId="0" fontId="9" fillId="2" borderId="0" xfId="0" applyFont="1" applyFill="1" applyAlignment="1">
      <alignment horizontal="left" vertical="center"/>
    </xf>
    <xf numFmtId="0" fontId="8" fillId="2" borderId="0" xfId="0" applyFont="1" applyFill="1" applyAlignment="1">
      <alignment horizontal="center" vertical="center"/>
    </xf>
    <xf numFmtId="1" fontId="14" fillId="2" borderId="0" xfId="0" applyNumberFormat="1" applyFont="1" applyFill="1" applyAlignment="1">
      <alignment horizontal="center" vertical="center"/>
    </xf>
    <xf numFmtId="9" fontId="8" fillId="2" borderId="0" xfId="0" applyNumberFormat="1" applyFont="1" applyFill="1" applyAlignment="1">
      <alignment horizontal="center" vertical="center"/>
    </xf>
    <xf numFmtId="168" fontId="8" fillId="6" borderId="0" xfId="0" applyNumberFormat="1" applyFont="1" applyFill="1" applyAlignment="1">
      <alignment horizontal="center" vertical="center"/>
    </xf>
    <xf numFmtId="0" fontId="8" fillId="6" borderId="0" xfId="0" applyFont="1" applyFill="1" applyAlignment="1">
      <alignment horizontal="left" vertical="center" wrapText="1"/>
    </xf>
    <xf numFmtId="166" fontId="7" fillId="3" borderId="0" xfId="1" applyFont="1" applyFill="1" applyAlignment="1">
      <alignment horizontal="center" vertical="top" wrapText="1"/>
    </xf>
    <xf numFmtId="0" fontId="14" fillId="3" borderId="0" xfId="3" applyFont="1" applyFill="1" applyAlignment="1">
      <alignment vertical="center" wrapText="1"/>
    </xf>
    <xf numFmtId="0" fontId="7" fillId="4" borderId="1" xfId="0" applyFont="1" applyFill="1" applyBorder="1" applyAlignment="1">
      <alignment vertical="center" wrapText="1"/>
    </xf>
    <xf numFmtId="166" fontId="7" fillId="3" borderId="0" xfId="1" applyFont="1" applyFill="1" applyAlignment="1">
      <alignment horizontal="center" vertical="center" wrapText="1"/>
    </xf>
    <xf numFmtId="166" fontId="7" fillId="3" borderId="0" xfId="0" applyNumberFormat="1" applyFont="1" applyFill="1" applyAlignment="1">
      <alignment horizontal="center" vertical="center"/>
    </xf>
    <xf numFmtId="0" fontId="7" fillId="5" borderId="0" xfId="0" applyFont="1" applyFill="1" applyAlignment="1">
      <alignment horizontal="center" vertical="center"/>
    </xf>
    <xf numFmtId="167" fontId="7" fillId="5" borderId="0" xfId="0" applyNumberFormat="1" applyFont="1" applyFill="1" applyAlignment="1">
      <alignment horizontal="center" vertical="center"/>
    </xf>
    <xf numFmtId="166" fontId="8" fillId="2" borderId="0" xfId="3" applyNumberFormat="1" applyFont="1" applyFill="1" applyAlignment="1">
      <alignment horizontal="center" vertical="center" wrapText="1"/>
    </xf>
    <xf numFmtId="167" fontId="21" fillId="2" borderId="0" xfId="0" applyNumberFormat="1" applyFont="1" applyFill="1" applyAlignment="1">
      <alignment horizontal="center" vertical="center"/>
    </xf>
    <xf numFmtId="0" fontId="11" fillId="2" borderId="0" xfId="0" applyFont="1" applyFill="1" applyAlignment="1">
      <alignment horizontal="center" vertical="center" wrapText="1"/>
    </xf>
    <xf numFmtId="0" fontId="24" fillId="2" borderId="0" xfId="0" applyFont="1" applyFill="1" applyAlignment="1">
      <alignment horizontal="center"/>
    </xf>
    <xf numFmtId="166" fontId="24" fillId="2" borderId="0" xfId="1" applyFont="1" applyFill="1" applyAlignment="1">
      <alignment horizontal="center" vertical="top" wrapText="1"/>
    </xf>
    <xf numFmtId="167" fontId="21" fillId="2" borderId="0" xfId="0" applyNumberFormat="1" applyFont="1" applyFill="1" applyAlignment="1">
      <alignment horizontal="center" vertical="center" wrapText="1"/>
    </xf>
    <xf numFmtId="166" fontId="11" fillId="2" borderId="0" xfId="0" applyNumberFormat="1" applyFont="1" applyFill="1" applyAlignment="1">
      <alignment horizontal="center" vertical="center"/>
    </xf>
    <xf numFmtId="0" fontId="21" fillId="2" borderId="0" xfId="0" applyFont="1" applyFill="1" applyAlignment="1">
      <alignment horizontal="center" vertical="center"/>
    </xf>
    <xf numFmtId="0" fontId="25" fillId="2" borderId="0" xfId="0" applyFont="1" applyFill="1" applyAlignment="1">
      <alignment horizontal="center" vertical="top" wrapText="1"/>
    </xf>
    <xf numFmtId="9" fontId="24" fillId="2" borderId="0" xfId="0" applyNumberFormat="1" applyFont="1" applyFill="1" applyAlignment="1">
      <alignment horizontal="center" vertical="top" wrapText="1"/>
    </xf>
    <xf numFmtId="166" fontId="24" fillId="2" borderId="0" xfId="1" applyFont="1" applyFill="1" applyAlignment="1">
      <alignment horizontal="center"/>
    </xf>
    <xf numFmtId="166" fontId="8" fillId="6" borderId="0" xfId="0" applyNumberFormat="1" applyFont="1" applyFill="1" applyAlignment="1">
      <alignment horizontal="center" vertical="center" wrapText="1"/>
    </xf>
    <xf numFmtId="167" fontId="25" fillId="2" borderId="0" xfId="0" applyNumberFormat="1" applyFont="1" applyFill="1" applyAlignment="1">
      <alignment horizontal="center"/>
    </xf>
    <xf numFmtId="2" fontId="21" fillId="2" borderId="0" xfId="0" applyNumberFormat="1" applyFont="1" applyFill="1" applyAlignment="1">
      <alignment horizontal="left" vertical="center"/>
    </xf>
    <xf numFmtId="166" fontId="11" fillId="2" borderId="0" xfId="0" applyNumberFormat="1" applyFont="1" applyFill="1" applyAlignment="1">
      <alignment horizontal="left" vertical="center"/>
    </xf>
    <xf numFmtId="0" fontId="21" fillId="2" borderId="0" xfId="0" applyFont="1" applyFill="1" applyAlignment="1">
      <alignment horizontal="left" vertical="center"/>
    </xf>
    <xf numFmtId="166" fontId="11" fillId="2" borderId="0" xfId="1" applyFont="1" applyFill="1" applyAlignment="1">
      <alignment horizontal="left" vertical="center"/>
    </xf>
    <xf numFmtId="166" fontId="14" fillId="3" borderId="0" xfId="0" applyNumberFormat="1" applyFont="1" applyFill="1" applyAlignment="1">
      <alignment horizontal="center" vertical="center"/>
    </xf>
    <xf numFmtId="0" fontId="14" fillId="3" borderId="0" xfId="0" applyFont="1" applyFill="1" applyAlignment="1">
      <alignment horizontal="center" vertical="center"/>
    </xf>
    <xf numFmtId="2" fontId="14" fillId="3" borderId="0" xfId="0" applyNumberFormat="1" applyFont="1" applyFill="1" applyAlignment="1">
      <alignment horizontal="center" vertical="center"/>
    </xf>
    <xf numFmtId="167" fontId="14" fillId="3" borderId="0" xfId="0" applyNumberFormat="1" applyFont="1" applyFill="1" applyAlignment="1">
      <alignment horizontal="center" vertical="center"/>
    </xf>
    <xf numFmtId="167" fontId="21" fillId="0" borderId="0" xfId="0" applyNumberFormat="1" applyFont="1" applyAlignment="1">
      <alignment horizontal="center" vertical="center" wrapText="1"/>
    </xf>
    <xf numFmtId="166" fontId="11" fillId="0" borderId="0" xfId="0" applyNumberFormat="1" applyFont="1" applyAlignment="1">
      <alignment horizontal="center" vertical="center"/>
    </xf>
    <xf numFmtId="0" fontId="21" fillId="0" borderId="0" xfId="0" applyFont="1" applyAlignment="1">
      <alignment horizontal="center" vertical="center"/>
    </xf>
    <xf numFmtId="167" fontId="21" fillId="0" borderId="0" xfId="0" applyNumberFormat="1" applyFont="1" applyAlignment="1">
      <alignment horizontal="center" vertical="center"/>
    </xf>
    <xf numFmtId="166" fontId="21" fillId="0" borderId="0" xfId="0" applyNumberFormat="1" applyFont="1" applyAlignment="1">
      <alignment horizontal="center" vertical="center"/>
    </xf>
    <xf numFmtId="166" fontId="11" fillId="0" borderId="0" xfId="1" applyFont="1" applyAlignment="1">
      <alignment horizontal="center" vertical="center"/>
    </xf>
    <xf numFmtId="167" fontId="14" fillId="0" borderId="0" xfId="0" applyNumberFormat="1" applyFont="1" applyAlignment="1">
      <alignment horizontal="center" vertical="center"/>
    </xf>
    <xf numFmtId="166" fontId="11" fillId="0" borderId="0" xfId="0" applyNumberFormat="1" applyFont="1" applyAlignment="1">
      <alignment horizontal="center" vertical="center" wrapText="1"/>
    </xf>
    <xf numFmtId="166" fontId="14" fillId="0" borderId="0" xfId="0" applyNumberFormat="1" applyFont="1" applyAlignment="1">
      <alignment horizontal="center" vertical="center"/>
    </xf>
    <xf numFmtId="166" fontId="10" fillId="5" borderId="0" xfId="0" applyNumberFormat="1" applyFont="1" applyFill="1" applyAlignment="1">
      <alignment horizontal="center" vertical="center" wrapText="1"/>
    </xf>
    <xf numFmtId="0" fontId="14" fillId="5" borderId="0" xfId="0" applyFont="1" applyFill="1" applyAlignment="1">
      <alignment horizontal="center" vertical="center"/>
    </xf>
    <xf numFmtId="167" fontId="14" fillId="5" borderId="0" xfId="0" applyNumberFormat="1" applyFont="1" applyFill="1" applyAlignment="1">
      <alignment horizontal="center" vertical="center"/>
    </xf>
    <xf numFmtId="166" fontId="14" fillId="5" borderId="0" xfId="0" applyNumberFormat="1" applyFont="1" applyFill="1" applyAlignment="1">
      <alignment horizontal="center" vertical="center"/>
    </xf>
    <xf numFmtId="166" fontId="7" fillId="0" borderId="0" xfId="1" applyFont="1" applyAlignment="1">
      <alignment horizontal="center" vertical="center" wrapText="1"/>
    </xf>
    <xf numFmtId="166" fontId="14" fillId="0" borderId="0" xfId="0" applyNumberFormat="1" applyFont="1" applyAlignment="1">
      <alignment horizontal="center" vertical="center" wrapText="1"/>
    </xf>
    <xf numFmtId="168" fontId="7" fillId="0" borderId="0" xfId="0" applyNumberFormat="1" applyFont="1" applyAlignment="1">
      <alignment horizontal="center" vertical="center" wrapText="1"/>
    </xf>
    <xf numFmtId="166" fontId="23" fillId="3" borderId="0" xfId="0" applyNumberFormat="1" applyFont="1" applyFill="1" applyAlignment="1">
      <alignment horizontal="center" vertical="center"/>
    </xf>
    <xf numFmtId="2" fontId="23" fillId="3"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9" fillId="2" borderId="0" xfId="0" applyNumberFormat="1" applyFont="1" applyFill="1" applyAlignment="1">
      <alignment horizontal="center" vertical="center"/>
    </xf>
    <xf numFmtId="166" fontId="10" fillId="2" borderId="0" xfId="0" applyNumberFormat="1" applyFont="1" applyFill="1" applyAlignment="1">
      <alignment horizontal="center" vertical="center"/>
    </xf>
    <xf numFmtId="166" fontId="9" fillId="2" borderId="0" xfId="0" applyNumberFormat="1" applyFont="1" applyFill="1" applyAlignment="1">
      <alignment horizontal="center" vertical="center" wrapText="1"/>
    </xf>
    <xf numFmtId="166" fontId="10" fillId="2" borderId="0" xfId="3" applyNumberFormat="1" applyFont="1" applyFill="1" applyAlignment="1">
      <alignment horizontal="center" vertical="center"/>
    </xf>
    <xf numFmtId="166" fontId="7" fillId="3" borderId="0" xfId="3" applyNumberFormat="1" applyFont="1" applyFill="1" applyAlignment="1">
      <alignment horizontal="center" vertical="center"/>
    </xf>
    <xf numFmtId="166" fontId="16" fillId="2" borderId="0" xfId="3" applyNumberFormat="1" applyFont="1" applyFill="1" applyAlignment="1">
      <alignment horizontal="center" vertical="center" wrapText="1"/>
    </xf>
    <xf numFmtId="166" fontId="21" fillId="2" borderId="0" xfId="1" applyFont="1" applyFill="1" applyAlignment="1">
      <alignment horizontal="center" vertical="center" wrapText="1"/>
    </xf>
    <xf numFmtId="166" fontId="21" fillId="2"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6" fontId="14" fillId="2" borderId="0" xfId="0" applyNumberFormat="1" applyFont="1" applyFill="1" applyAlignment="1">
      <alignment horizontal="center" vertical="center" wrapText="1"/>
    </xf>
    <xf numFmtId="166" fontId="14" fillId="2" borderId="0" xfId="1" applyFont="1" applyFill="1" applyAlignment="1">
      <alignment horizontal="center" vertical="top" wrapText="1"/>
    </xf>
    <xf numFmtId="166" fontId="14" fillId="2" borderId="0" xfId="0" applyNumberFormat="1" applyFont="1" applyFill="1" applyAlignment="1">
      <alignment horizontal="center"/>
    </xf>
    <xf numFmtId="169" fontId="14" fillId="2" borderId="0" xfId="0" applyNumberFormat="1" applyFont="1" applyFill="1" applyAlignment="1">
      <alignment horizontal="center" vertical="top" wrapText="1"/>
    </xf>
    <xf numFmtId="168" fontId="7" fillId="2" borderId="0" xfId="0" applyNumberFormat="1" applyFont="1" applyFill="1" applyAlignment="1">
      <alignment horizontal="center" vertical="top" wrapText="1"/>
    </xf>
    <xf numFmtId="168" fontId="16" fillId="2" borderId="1" xfId="0" applyNumberFormat="1" applyFont="1" applyFill="1" applyBorder="1" applyAlignment="1">
      <alignment horizontal="center" vertical="center"/>
    </xf>
    <xf numFmtId="0" fontId="8" fillId="6" borderId="0" xfId="0" applyFont="1" applyFill="1" applyAlignment="1">
      <alignment horizontal="center"/>
    </xf>
    <xf numFmtId="166" fontId="8" fillId="2" borderId="1" xfId="0" applyNumberFormat="1" applyFont="1" applyFill="1" applyBorder="1" applyAlignment="1">
      <alignment horizontal="center" vertical="center"/>
    </xf>
    <xf numFmtId="166" fontId="17" fillId="3" borderId="0" xfId="1" applyFont="1" applyFill="1" applyAlignment="1">
      <alignment horizontal="center" vertical="center" wrapText="1"/>
    </xf>
    <xf numFmtId="166" fontId="17" fillId="3" borderId="0" xfId="0" applyNumberFormat="1" applyFont="1" applyFill="1" applyAlignment="1">
      <alignment horizontal="center" vertical="center"/>
    </xf>
    <xf numFmtId="166" fontId="17" fillId="3" borderId="0" xfId="4" applyFont="1" applyFill="1" applyAlignment="1">
      <alignment horizontal="center" vertical="top" wrapText="1"/>
    </xf>
    <xf numFmtId="9" fontId="13" fillId="4" borderId="0" xfId="0" applyNumberFormat="1" applyFont="1" applyFill="1" applyAlignment="1">
      <alignment horizontal="center" vertical="center" wrapText="1"/>
    </xf>
    <xf numFmtId="9" fontId="13" fillId="4" borderId="0" xfId="0" applyNumberFormat="1" applyFont="1" applyFill="1" applyAlignment="1">
      <alignment horizontal="center" vertical="top" wrapText="1"/>
    </xf>
    <xf numFmtId="166" fontId="17" fillId="3" borderId="0" xfId="3" applyNumberFormat="1" applyFont="1" applyFill="1" applyAlignment="1">
      <alignment horizontal="center" vertical="center" wrapText="1"/>
    </xf>
    <xf numFmtId="166" fontId="17" fillId="3" borderId="0" xfId="0" applyNumberFormat="1" applyFont="1" applyFill="1" applyAlignment="1">
      <alignment horizontal="center"/>
    </xf>
    <xf numFmtId="166" fontId="17" fillId="3" borderId="0" xfId="0" applyNumberFormat="1" applyFont="1" applyFill="1" applyAlignment="1">
      <alignment horizontal="center" vertical="center" wrapText="1"/>
    </xf>
    <xf numFmtId="9" fontId="13" fillId="4" borderId="0" xfId="2" applyFont="1" applyFill="1" applyAlignment="1">
      <alignment horizontal="center" vertical="center" wrapText="1"/>
    </xf>
    <xf numFmtId="0" fontId="13" fillId="5" borderId="1" xfId="0" applyFont="1" applyFill="1" applyBorder="1" applyAlignment="1">
      <alignment horizontal="left" vertical="center"/>
    </xf>
    <xf numFmtId="0" fontId="13" fillId="5" borderId="1" xfId="0" applyFont="1" applyFill="1" applyBorder="1" applyAlignment="1">
      <alignment horizontal="left" vertical="top" wrapText="1"/>
    </xf>
    <xf numFmtId="0" fontId="13" fillId="5" borderId="1" xfId="0" applyFont="1" applyFill="1" applyBorder="1" applyAlignment="1">
      <alignment horizontal="left" vertical="center" wrapText="1"/>
    </xf>
    <xf numFmtId="0" fontId="8" fillId="6" borderId="0" xfId="3" applyFont="1" applyFill="1" applyAlignment="1">
      <alignment horizontal="center" vertical="center"/>
    </xf>
    <xf numFmtId="9" fontId="13" fillId="5" borderId="1" xfId="2" applyFont="1" applyFill="1" applyBorder="1" applyAlignment="1">
      <alignment horizontal="center" vertical="center"/>
    </xf>
    <xf numFmtId="9" fontId="13" fillId="4" borderId="1" xfId="0" applyNumberFormat="1" applyFont="1" applyFill="1" applyBorder="1" applyAlignment="1">
      <alignment horizontal="center" vertical="center" wrapText="1"/>
    </xf>
    <xf numFmtId="166" fontId="4" fillId="2" borderId="0" xfId="1" applyFont="1" applyFill="1"/>
    <xf numFmtId="166" fontId="5" fillId="2" borderId="0" xfId="1" applyFont="1" applyFill="1"/>
    <xf numFmtId="0" fontId="4" fillId="2" borderId="0" xfId="1" applyNumberFormat="1" applyFont="1" applyFill="1" applyAlignment="1">
      <alignment horizontal="center"/>
    </xf>
    <xf numFmtId="2" fontId="4" fillId="2" borderId="0" xfId="1" applyNumberFormat="1" applyFont="1" applyFill="1" applyAlignment="1">
      <alignment horizontal="center"/>
    </xf>
    <xf numFmtId="0" fontId="0" fillId="2" borderId="0" xfId="0" applyFill="1" applyAlignment="1">
      <alignment horizontal="center"/>
    </xf>
    <xf numFmtId="9" fontId="5" fillId="2" borderId="0" xfId="2" applyFont="1" applyFill="1" applyAlignment="1">
      <alignment horizontal="center"/>
    </xf>
    <xf numFmtId="166" fontId="5" fillId="2" borderId="0" xfId="1" applyFont="1" applyFill="1" applyAlignment="1">
      <alignment horizontal="left"/>
    </xf>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5" fillId="2" borderId="0" xfId="0" applyFont="1" applyFill="1" applyAlignment="1">
      <alignment horizontal="center"/>
    </xf>
    <xf numFmtId="166" fontId="4" fillId="2" borderId="0" xfId="4" applyFont="1" applyFill="1"/>
    <xf numFmtId="166" fontId="5" fillId="2" borderId="0" xfId="0" applyNumberFormat="1" applyFont="1" applyFill="1"/>
    <xf numFmtId="166" fontId="3" fillId="2" borderId="0" xfId="1" applyFont="1" applyFill="1"/>
    <xf numFmtId="166" fontId="4" fillId="2" borderId="0" xfId="1" applyFont="1" applyFill="1" applyAlignment="1">
      <alignment horizontal="center"/>
    </xf>
    <xf numFmtId="0" fontId="4" fillId="2" borderId="0" xfId="0" applyFont="1" applyFill="1" applyAlignment="1">
      <alignment horizontal="center"/>
    </xf>
    <xf numFmtId="166" fontId="4" fillId="2" borderId="0" xfId="1" applyFont="1" applyFill="1" applyAlignment="1">
      <alignment vertical="top" wrapText="1"/>
    </xf>
    <xf numFmtId="166" fontId="5" fillId="2" borderId="0" xfId="1" applyFont="1" applyFill="1" applyAlignment="1">
      <alignment vertical="top" wrapText="1"/>
    </xf>
    <xf numFmtId="2" fontId="4" fillId="2" borderId="0" xfId="1" applyNumberFormat="1" applyFont="1" applyFill="1" applyAlignment="1">
      <alignment horizontal="center" vertical="top" wrapText="1"/>
    </xf>
    <xf numFmtId="0" fontId="0" fillId="2" borderId="0" xfId="0" applyFill="1"/>
    <xf numFmtId="166" fontId="4" fillId="2" borderId="0" xfId="1" applyFont="1" applyFill="1" applyAlignment="1">
      <alignment horizontal="left" vertical="top" wrapText="1"/>
    </xf>
    <xf numFmtId="166" fontId="4" fillId="2" borderId="0" xfId="1" applyFont="1" applyFill="1" applyAlignment="1">
      <alignment horizontal="center" vertical="top" wrapText="1"/>
    </xf>
    <xf numFmtId="0" fontId="3" fillId="2" borderId="0" xfId="0" applyFont="1" applyFill="1"/>
    <xf numFmtId="166" fontId="5" fillId="4" borderId="0" xfId="1" applyFont="1" applyFill="1" applyAlignment="1">
      <alignment horizontal="left"/>
    </xf>
    <xf numFmtId="166" fontId="4" fillId="4" borderId="0" xfId="1" applyFont="1" applyFill="1"/>
    <xf numFmtId="166" fontId="5" fillId="4" borderId="0" xfId="1" applyFont="1" applyFill="1"/>
    <xf numFmtId="2" fontId="5" fillId="4" borderId="0" xfId="1" applyNumberFormat="1" applyFont="1" applyFill="1" applyAlignment="1">
      <alignment horizontal="center"/>
    </xf>
    <xf numFmtId="166" fontId="5" fillId="4" borderId="0" xfId="1" applyFont="1" applyFill="1" applyAlignment="1">
      <alignment horizontal="center"/>
    </xf>
    <xf numFmtId="0" fontId="5" fillId="4" borderId="0" xfId="1" applyNumberFormat="1" applyFont="1" applyFill="1" applyAlignment="1">
      <alignment horizontal="center"/>
    </xf>
    <xf numFmtId="0" fontId="5" fillId="4" borderId="0" xfId="0" applyFont="1" applyFill="1" applyAlignment="1">
      <alignment horizontal="center"/>
    </xf>
    <xf numFmtId="0" fontId="0" fillId="4" borderId="0" xfId="0" applyFill="1" applyAlignment="1">
      <alignment horizontal="center"/>
    </xf>
    <xf numFmtId="166" fontId="5" fillId="4" borderId="0" xfId="1" applyFont="1" applyFill="1" applyAlignment="1">
      <alignment vertical="top" wrapText="1"/>
    </xf>
    <xf numFmtId="166" fontId="5" fillId="4" borderId="0" xfId="1" applyFont="1" applyFill="1" applyAlignment="1">
      <alignment horizontal="center" vertical="top" wrapText="1"/>
    </xf>
    <xf numFmtId="166" fontId="4" fillId="4" borderId="0" xfId="1" applyFont="1" applyFill="1" applyAlignment="1">
      <alignment vertical="top" wrapText="1"/>
    </xf>
    <xf numFmtId="0" fontId="3" fillId="3" borderId="0" xfId="0" applyFont="1" applyFill="1"/>
    <xf numFmtId="0" fontId="3" fillId="3" borderId="0" xfId="0" applyFont="1" applyFill="1" applyAlignment="1">
      <alignment horizontal="center"/>
    </xf>
    <xf numFmtId="166" fontId="3" fillId="3" borderId="0" xfId="0" applyNumberFormat="1" applyFont="1" applyFill="1" applyAlignment="1">
      <alignment horizontal="center"/>
    </xf>
    <xf numFmtId="0" fontId="5" fillId="3" borderId="0" xfId="0" applyFont="1" applyFill="1" applyAlignment="1">
      <alignment horizontal="center"/>
    </xf>
    <xf numFmtId="166" fontId="3" fillId="3" borderId="0" xfId="1" applyFont="1" applyFill="1" applyAlignment="1">
      <alignment horizontal="center"/>
    </xf>
    <xf numFmtId="0" fontId="31" fillId="3" borderId="0" xfId="0" applyFont="1" applyFill="1" applyAlignment="1">
      <alignment horizontal="center"/>
    </xf>
    <xf numFmtId="0" fontId="32" fillId="3" borderId="0" xfId="0" applyFont="1" applyFill="1" applyAlignment="1">
      <alignment horizontal="left"/>
    </xf>
    <xf numFmtId="166" fontId="3" fillId="3" borderId="0" xfId="0" applyNumberFormat="1" applyFont="1" applyFill="1"/>
    <xf numFmtId="166" fontId="5" fillId="3" borderId="0" xfId="1" applyFont="1" applyFill="1" applyAlignment="1">
      <alignment horizontal="center"/>
    </xf>
    <xf numFmtId="166" fontId="3" fillId="4" borderId="0" xfId="0" applyNumberFormat="1" applyFont="1" applyFill="1" applyAlignment="1">
      <alignment horizontal="center"/>
    </xf>
    <xf numFmtId="166" fontId="36" fillId="4" borderId="0" xfId="1" applyFont="1" applyFill="1" applyAlignment="1">
      <alignment horizontal="center"/>
    </xf>
    <xf numFmtId="166" fontId="33" fillId="5" borderId="0" xfId="1" applyFont="1" applyFill="1" applyAlignment="1">
      <alignment horizontal="center"/>
    </xf>
    <xf numFmtId="166" fontId="33" fillId="3" borderId="0" xfId="1" applyFont="1" applyFill="1" applyAlignment="1">
      <alignment horizontal="center"/>
    </xf>
    <xf numFmtId="166" fontId="3" fillId="4" borderId="0" xfId="1" applyFont="1" applyFill="1" applyAlignment="1">
      <alignment horizontal="center"/>
    </xf>
    <xf numFmtId="2" fontId="33" fillId="3" borderId="0" xfId="1" applyNumberFormat="1" applyFont="1" applyFill="1" applyAlignment="1">
      <alignment horizontal="center"/>
    </xf>
    <xf numFmtId="0" fontId="5" fillId="5" borderId="1" xfId="0" applyFont="1" applyFill="1" applyBorder="1" applyAlignment="1">
      <alignment horizontal="center"/>
    </xf>
    <xf numFmtId="166" fontId="5" fillId="5" borderId="1" xfId="1" applyFont="1" applyFill="1" applyBorder="1" applyAlignment="1">
      <alignment horizontal="center"/>
    </xf>
    <xf numFmtId="0" fontId="37" fillId="6" borderId="0" xfId="0" applyFont="1" applyFill="1" applyAlignment="1">
      <alignment horizontal="left"/>
    </xf>
    <xf numFmtId="0" fontId="38" fillId="6" borderId="0" xfId="0" applyFont="1" applyFill="1" applyAlignment="1">
      <alignment horizontal="center"/>
    </xf>
    <xf numFmtId="166" fontId="38" fillId="6" borderId="0" xfId="0" applyNumberFormat="1" applyFont="1" applyFill="1" applyAlignment="1">
      <alignment horizontal="center"/>
    </xf>
    <xf numFmtId="2" fontId="5" fillId="5" borderId="1" xfId="1" applyNumberFormat="1" applyFont="1" applyFill="1" applyBorder="1" applyAlignment="1">
      <alignment horizontal="center"/>
    </xf>
    <xf numFmtId="2" fontId="33" fillId="5" borderId="1" xfId="1" applyNumberFormat="1" applyFont="1" applyFill="1" applyBorder="1" applyAlignment="1">
      <alignment horizontal="center"/>
    </xf>
    <xf numFmtId="1" fontId="16" fillId="2" borderId="1" xfId="0" applyNumberFormat="1" applyFont="1" applyFill="1" applyBorder="1" applyAlignment="1">
      <alignment horizontal="center" vertical="center" wrapText="1"/>
    </xf>
    <xf numFmtId="166" fontId="5" fillId="3" borderId="0" xfId="0" applyNumberFormat="1" applyFont="1" applyFill="1" applyAlignment="1">
      <alignment horizontal="center"/>
    </xf>
    <xf numFmtId="0" fontId="5" fillId="3" borderId="0" xfId="0" applyFont="1" applyFill="1"/>
    <xf numFmtId="166" fontId="5" fillId="3" borderId="0" xfId="1" applyFont="1" applyFill="1"/>
    <xf numFmtId="0" fontId="3" fillId="2" borderId="0" xfId="1" applyNumberFormat="1" applyFont="1" applyFill="1" applyAlignment="1">
      <alignment horizontal="center"/>
    </xf>
    <xf numFmtId="166" fontId="32" fillId="6" borderId="1" xfId="1" applyFont="1" applyFill="1" applyBorder="1" applyAlignment="1">
      <alignment horizontal="center"/>
    </xf>
    <xf numFmtId="0" fontId="35" fillId="6" borderId="1" xfId="0" applyFont="1" applyFill="1" applyBorder="1" applyAlignment="1">
      <alignment horizontal="center"/>
    </xf>
    <xf numFmtId="0" fontId="5" fillId="5" borderId="9" xfId="0" applyFont="1" applyFill="1" applyBorder="1" applyAlignment="1">
      <alignment horizontal="center"/>
    </xf>
    <xf numFmtId="0" fontId="34" fillId="6" borderId="1" xfId="0" applyFont="1" applyFill="1" applyBorder="1" applyAlignment="1">
      <alignment horizontal="center"/>
    </xf>
    <xf numFmtId="166" fontId="35" fillId="6" borderId="1" xfId="0" applyNumberFormat="1" applyFont="1" applyFill="1" applyBorder="1" applyAlignment="1">
      <alignment horizontal="center"/>
    </xf>
    <xf numFmtId="0" fontId="32" fillId="6" borderId="1" xfId="0" applyFont="1" applyFill="1" applyBorder="1" applyAlignment="1">
      <alignment horizontal="left"/>
    </xf>
    <xf numFmtId="166" fontId="16" fillId="2" borderId="1" xfId="1" applyFont="1" applyFill="1" applyBorder="1" applyAlignment="1">
      <alignment horizontal="center" vertical="center" wrapText="1"/>
    </xf>
    <xf numFmtId="1" fontId="13" fillId="2" borderId="8" xfId="0" applyNumberFormat="1" applyFont="1" applyFill="1" applyBorder="1" applyAlignment="1">
      <alignment horizontal="center" vertical="center" wrapText="1"/>
    </xf>
    <xf numFmtId="1" fontId="16" fillId="2" borderId="9" xfId="0" applyNumberFormat="1" applyFont="1" applyFill="1" applyBorder="1" applyAlignment="1">
      <alignment horizontal="center" vertical="center" wrapText="1"/>
    </xf>
    <xf numFmtId="1" fontId="13" fillId="3" borderId="0" xfId="0" applyNumberFormat="1" applyFont="1" applyFill="1" applyAlignment="1">
      <alignment vertical="center" wrapText="1"/>
    </xf>
    <xf numFmtId="9" fontId="24" fillId="4" borderId="0" xfId="0" applyNumberFormat="1" applyFont="1" applyFill="1" applyAlignment="1">
      <alignment horizontal="center" vertical="center" wrapText="1"/>
    </xf>
    <xf numFmtId="166" fontId="24" fillId="8" borderId="0" xfId="0" applyNumberFormat="1" applyFont="1" applyFill="1" applyAlignment="1">
      <alignment horizontal="center" vertical="center"/>
    </xf>
    <xf numFmtId="166" fontId="24" fillId="8" borderId="0" xfId="3" applyNumberFormat="1" applyFont="1" applyFill="1" applyAlignment="1">
      <alignment horizontal="center" vertical="center" wrapText="1"/>
    </xf>
    <xf numFmtId="166" fontId="24" fillId="8" borderId="0" xfId="1" applyFont="1" applyFill="1" applyAlignment="1">
      <alignment horizontal="center" vertical="center" wrapText="1"/>
    </xf>
    <xf numFmtId="166" fontId="9" fillId="2" borderId="0" xfId="1" applyFont="1" applyFill="1" applyAlignment="1">
      <alignment horizontal="center" vertical="center"/>
    </xf>
    <xf numFmtId="0" fontId="11" fillId="2" borderId="0" xfId="0" applyFont="1" applyFill="1" applyAlignment="1">
      <alignment horizontal="center" vertical="center"/>
    </xf>
    <xf numFmtId="167" fontId="11" fillId="2" borderId="0" xfId="0" applyNumberFormat="1" applyFont="1" applyFill="1" applyAlignment="1">
      <alignment horizontal="center" vertical="center" wrapText="1"/>
    </xf>
    <xf numFmtId="169" fontId="25" fillId="3" borderId="0" xfId="3" applyNumberFormat="1" applyFont="1" applyFill="1" applyAlignment="1">
      <alignment vertical="center"/>
    </xf>
    <xf numFmtId="0" fontId="11" fillId="4" borderId="1" xfId="3" applyFont="1" applyFill="1" applyBorder="1" applyAlignment="1">
      <alignment vertical="center"/>
    </xf>
    <xf numFmtId="0" fontId="25" fillId="2" borderId="1" xfId="3" applyFont="1" applyFill="1" applyBorder="1" applyAlignment="1">
      <alignment horizontal="center" vertical="center" wrapText="1"/>
    </xf>
    <xf numFmtId="0" fontId="24" fillId="4" borderId="1" xfId="3" applyFont="1" applyFill="1" applyBorder="1" applyAlignment="1" applyProtection="1">
      <alignment vertical="center" wrapText="1"/>
      <protection locked="0"/>
    </xf>
    <xf numFmtId="0" fontId="16" fillId="2" borderId="13" xfId="3" applyFont="1" applyFill="1" applyBorder="1" applyAlignment="1">
      <alignment horizontal="center" vertical="center" wrapText="1"/>
    </xf>
    <xf numFmtId="0" fontId="24" fillId="4" borderId="1" xfId="3" applyFont="1" applyFill="1" applyBorder="1" applyAlignment="1" applyProtection="1">
      <alignment horizontal="center" vertical="center" wrapText="1"/>
      <protection locked="0"/>
    </xf>
    <xf numFmtId="169" fontId="21" fillId="2" borderId="0" xfId="3" applyNumberFormat="1" applyFont="1" applyFill="1" applyAlignment="1">
      <alignment horizontal="center" vertical="center"/>
    </xf>
    <xf numFmtId="0" fontId="39" fillId="3" borderId="1" xfId="3" applyFont="1" applyFill="1" applyBorder="1" applyAlignment="1">
      <alignment horizontal="center" vertical="center" wrapText="1"/>
    </xf>
    <xf numFmtId="169" fontId="10" fillId="3" borderId="1" xfId="3" applyNumberFormat="1" applyFont="1" applyFill="1" applyBorder="1" applyAlignment="1">
      <alignment vertical="center"/>
    </xf>
    <xf numFmtId="0" fontId="25" fillId="3" borderId="1" xfId="3" applyFont="1" applyFill="1" applyBorder="1" applyAlignment="1">
      <alignment horizontal="center" vertical="center" wrapText="1"/>
    </xf>
    <xf numFmtId="169" fontId="21" fillId="3" borderId="1" xfId="3" applyNumberFormat="1" applyFont="1" applyFill="1" applyBorder="1" applyAlignment="1">
      <alignment vertical="center"/>
    </xf>
    <xf numFmtId="0" fontId="2" fillId="3" borderId="1" xfId="3" applyFont="1" applyFill="1" applyBorder="1" applyAlignment="1">
      <alignment horizontal="center" vertical="center" wrapText="1"/>
    </xf>
    <xf numFmtId="166" fontId="17" fillId="2" borderId="0" xfId="0" applyNumberFormat="1" applyFont="1" applyFill="1" applyAlignment="1">
      <alignment horizontal="center" vertical="center"/>
    </xf>
    <xf numFmtId="0" fontId="2" fillId="3" borderId="13" xfId="3" applyFont="1" applyFill="1" applyBorder="1" applyAlignment="1">
      <alignment horizontal="center" vertical="center" wrapText="1"/>
    </xf>
    <xf numFmtId="169" fontId="21" fillId="3" borderId="13" xfId="3" applyNumberFormat="1" applyFont="1" applyFill="1" applyBorder="1" applyAlignment="1">
      <alignment vertical="center"/>
    </xf>
    <xf numFmtId="166" fontId="17" fillId="3" borderId="1" xfId="4" applyFont="1" applyFill="1" applyBorder="1" applyAlignment="1">
      <alignment horizontal="center" vertical="top" wrapText="1"/>
    </xf>
    <xf numFmtId="166" fontId="17" fillId="4" borderId="0" xfId="1" applyFont="1" applyFill="1" applyAlignment="1">
      <alignment horizontal="center" vertical="center" wrapText="1"/>
    </xf>
    <xf numFmtId="166" fontId="17" fillId="2" borderId="0" xfId="1" applyFont="1" applyFill="1" applyAlignment="1">
      <alignment horizontal="center" vertical="center" wrapText="1"/>
    </xf>
    <xf numFmtId="9" fontId="39" fillId="4" borderId="0" xfId="0" applyNumberFormat="1" applyFont="1" applyFill="1" applyAlignment="1">
      <alignment horizontal="center" vertical="center" wrapText="1"/>
    </xf>
    <xf numFmtId="0" fontId="24" fillId="3" borderId="0" xfId="3" applyFont="1" applyFill="1" applyAlignment="1">
      <alignment horizontal="left" vertical="center" wrapText="1"/>
    </xf>
    <xf numFmtId="166" fontId="3" fillId="2" borderId="0" xfId="1" applyFont="1" applyFill="1" applyAlignment="1">
      <alignment vertical="top" wrapText="1"/>
    </xf>
    <xf numFmtId="0" fontId="15" fillId="2" borderId="0" xfId="0" applyFont="1" applyFill="1" applyAlignment="1">
      <alignment horizontal="center" vertical="center"/>
    </xf>
    <xf numFmtId="169" fontId="15" fillId="2" borderId="0" xfId="0" applyNumberFormat="1" applyFont="1" applyFill="1" applyAlignment="1">
      <alignment horizontal="center" vertical="center"/>
    </xf>
    <xf numFmtId="169" fontId="7" fillId="2" borderId="0" xfId="0" applyNumberFormat="1" applyFont="1" applyFill="1" applyAlignment="1">
      <alignment horizontal="center" vertical="center"/>
    </xf>
    <xf numFmtId="164" fontId="7" fillId="2" borderId="0" xfId="0" applyNumberFormat="1" applyFont="1" applyFill="1" applyAlignment="1">
      <alignment horizontal="center" vertical="center"/>
    </xf>
    <xf numFmtId="0" fontId="11" fillId="7" borderId="0" xfId="0" applyFont="1" applyFill="1"/>
    <xf numFmtId="166" fontId="11" fillId="7" borderId="0" xfId="0" applyNumberFormat="1" applyFont="1" applyFill="1" applyAlignment="1">
      <alignment horizontal="center"/>
    </xf>
    <xf numFmtId="0" fontId="24" fillId="4" borderId="0" xfId="0" applyFont="1" applyFill="1" applyAlignment="1">
      <alignment horizontal="center"/>
    </xf>
    <xf numFmtId="0" fontId="0" fillId="0" borderId="0" xfId="0" applyAlignment="1">
      <alignment horizontal="center"/>
    </xf>
    <xf numFmtId="17" fontId="39" fillId="0" borderId="0" xfId="0" applyNumberFormat="1" applyFont="1" applyAlignment="1">
      <alignment horizontal="center"/>
    </xf>
    <xf numFmtId="0" fontId="39" fillId="0" borderId="14" xfId="0" applyFont="1" applyBorder="1" applyAlignment="1">
      <alignment horizontal="center"/>
    </xf>
    <xf numFmtId="0" fontId="39" fillId="0" borderId="15" xfId="0" applyFont="1" applyBorder="1" applyAlignment="1">
      <alignment horizontal="center"/>
    </xf>
    <xf numFmtId="0" fontId="0" fillId="0" borderId="25" xfId="0" applyBorder="1"/>
    <xf numFmtId="0" fontId="39" fillId="12" borderId="26" xfId="0" applyFont="1" applyFill="1" applyBorder="1" applyAlignment="1">
      <alignment horizontal="center"/>
    </xf>
    <xf numFmtId="0" fontId="39" fillId="4" borderId="27" xfId="0" applyFont="1" applyFill="1" applyBorder="1" applyAlignment="1">
      <alignment horizontal="center"/>
    </xf>
    <xf numFmtId="0" fontId="39" fillId="0" borderId="13" xfId="0" applyFont="1" applyBorder="1" applyAlignment="1">
      <alignment horizontal="center"/>
    </xf>
    <xf numFmtId="0" fontId="39" fillId="11" borderId="13" xfId="0" applyFont="1" applyFill="1" applyBorder="1" applyAlignment="1">
      <alignment horizontal="center"/>
    </xf>
    <xf numFmtId="0" fontId="39" fillId="4" borderId="13" xfId="0" applyFont="1" applyFill="1" applyBorder="1" applyAlignment="1">
      <alignment horizontal="center"/>
    </xf>
    <xf numFmtId="0" fontId="39" fillId="2" borderId="13" xfId="0" applyFont="1" applyFill="1" applyBorder="1" applyAlignment="1">
      <alignment horizontal="center"/>
    </xf>
    <xf numFmtId="0" fontId="0" fillId="0" borderId="22" xfId="0" applyBorder="1"/>
    <xf numFmtId="0" fontId="0" fillId="12" borderId="28" xfId="0" applyFill="1" applyBorder="1"/>
    <xf numFmtId="0" fontId="39" fillId="0" borderId="26" xfId="0" applyFont="1" applyBorder="1"/>
    <xf numFmtId="171" fontId="0" fillId="4" borderId="14" xfId="0" applyNumberFormat="1" applyFill="1" applyBorder="1" applyAlignment="1">
      <alignment horizontal="center"/>
    </xf>
    <xf numFmtId="0" fontId="0" fillId="4" borderId="15" xfId="0" applyFill="1" applyBorder="1" applyAlignment="1">
      <alignment horizontal="center"/>
    </xf>
    <xf numFmtId="166" fontId="0" fillId="11" borderId="15" xfId="1" applyFont="1" applyFill="1" applyBorder="1" applyAlignment="1">
      <alignment horizontal="center"/>
    </xf>
    <xf numFmtId="0" fontId="0" fillId="11" borderId="15" xfId="0" applyFill="1" applyBorder="1" applyAlignment="1">
      <alignment horizontal="center"/>
    </xf>
    <xf numFmtId="171" fontId="0" fillId="4" borderId="15" xfId="0" applyNumberFormat="1" applyFill="1" applyBorder="1" applyAlignment="1">
      <alignment horizontal="center"/>
    </xf>
    <xf numFmtId="171" fontId="0" fillId="11" borderId="15" xfId="0" applyNumberFormat="1" applyFill="1" applyBorder="1" applyAlignment="1">
      <alignment horizontal="center"/>
    </xf>
    <xf numFmtId="0" fontId="0" fillId="0" borderId="25" xfId="0" applyBorder="1" applyAlignment="1">
      <alignment horizontal="center"/>
    </xf>
    <xf numFmtId="171" fontId="0" fillId="12" borderId="26" xfId="0" applyNumberFormat="1" applyFill="1" applyBorder="1"/>
    <xf numFmtId="0" fontId="39" fillId="0" borderId="29" xfId="0" applyFont="1" applyBorder="1"/>
    <xf numFmtId="171" fontId="0" fillId="4" borderId="17" xfId="0" applyNumberFormat="1" applyFill="1" applyBorder="1" applyAlignment="1">
      <alignment horizontal="center"/>
    </xf>
    <xf numFmtId="0" fontId="0" fillId="4" borderId="1" xfId="0" applyFill="1" applyBorder="1" applyAlignment="1">
      <alignment horizontal="center"/>
    </xf>
    <xf numFmtId="166" fontId="0" fillId="11" borderId="1" xfId="1" applyFont="1" applyFill="1" applyBorder="1" applyAlignment="1">
      <alignment horizontal="center"/>
    </xf>
    <xf numFmtId="0" fontId="0" fillId="11" borderId="1" xfId="0" applyFill="1" applyBorder="1" applyAlignment="1">
      <alignment horizontal="center"/>
    </xf>
    <xf numFmtId="171" fontId="0" fillId="4" borderId="1" xfId="0" applyNumberFormat="1" applyFill="1" applyBorder="1" applyAlignment="1">
      <alignment horizontal="center"/>
    </xf>
    <xf numFmtId="171" fontId="0" fillId="11"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1" fontId="0" fillId="12" borderId="29" xfId="0" applyNumberFormat="1" applyFill="1" applyBorder="1"/>
    <xf numFmtId="0" fontId="0" fillId="0" borderId="29" xfId="0" applyBorder="1"/>
    <xf numFmtId="0" fontId="0" fillId="0" borderId="17" xfId="0" applyBorder="1" applyAlignment="1">
      <alignment horizontal="center"/>
    </xf>
    <xf numFmtId="0" fontId="0" fillId="0" borderId="1" xfId="0" applyBorder="1" applyAlignment="1">
      <alignment horizontal="center"/>
    </xf>
    <xf numFmtId="0" fontId="39" fillId="0" borderId="28" xfId="0" applyFont="1" applyBorder="1"/>
    <xf numFmtId="0" fontId="0" fillId="0" borderId="27" xfId="0" applyBorder="1" applyAlignment="1">
      <alignment horizontal="center"/>
    </xf>
    <xf numFmtId="0" fontId="0" fillId="0" borderId="13" xfId="0" applyBorder="1" applyAlignment="1">
      <alignment horizontal="center"/>
    </xf>
    <xf numFmtId="0" fontId="0" fillId="0" borderId="22" xfId="0" applyBorder="1" applyAlignment="1">
      <alignment horizontal="center"/>
    </xf>
    <xf numFmtId="9" fontId="39" fillId="0" borderId="22" xfId="0" applyNumberFormat="1" applyFont="1" applyBorder="1" applyAlignment="1">
      <alignment horizontal="center"/>
    </xf>
    <xf numFmtId="171" fontId="0" fillId="12" borderId="28" xfId="0" applyNumberFormat="1" applyFill="1" applyBorder="1"/>
    <xf numFmtId="0" fontId="0" fillId="0" borderId="30" xfId="0" applyBorder="1"/>
    <xf numFmtId="0" fontId="0" fillId="0" borderId="19" xfId="0" applyBorder="1" applyAlignment="1">
      <alignment horizontal="center"/>
    </xf>
    <xf numFmtId="0" fontId="0" fillId="0" borderId="20" xfId="0" applyBorder="1" applyAlignment="1">
      <alignment horizontal="center"/>
    </xf>
    <xf numFmtId="0" fontId="0" fillId="0" borderId="31" xfId="0" applyBorder="1" applyAlignment="1">
      <alignment horizontal="center"/>
    </xf>
    <xf numFmtId="0" fontId="39" fillId="0" borderId="31" xfId="0" applyFont="1" applyBorder="1" applyAlignment="1">
      <alignment horizontal="center"/>
    </xf>
    <xf numFmtId="171" fontId="0" fillId="12" borderId="30" xfId="0" applyNumberFormat="1" applyFill="1" applyBorder="1"/>
    <xf numFmtId="0" fontId="39" fillId="2" borderId="15" xfId="0" applyFont="1" applyFill="1" applyBorder="1" applyAlignment="1">
      <alignment horizontal="center"/>
    </xf>
    <xf numFmtId="0" fontId="39" fillId="0" borderId="22" xfId="0" applyFont="1" applyBorder="1" applyAlignment="1">
      <alignment horizontal="center"/>
    </xf>
    <xf numFmtId="171" fontId="0" fillId="0" borderId="17" xfId="0" applyNumberFormat="1" applyBorder="1" applyAlignment="1">
      <alignment horizontal="center"/>
    </xf>
    <xf numFmtId="166" fontId="0" fillId="0" borderId="1" xfId="1" applyFont="1" applyBorder="1" applyAlignment="1">
      <alignment horizontal="center"/>
    </xf>
    <xf numFmtId="171" fontId="0" fillId="0" borderId="1" xfId="0" applyNumberFormat="1" applyBorder="1" applyAlignment="1">
      <alignment horizontal="center"/>
    </xf>
    <xf numFmtId="171" fontId="0" fillId="4" borderId="25" xfId="0" applyNumberFormat="1" applyFill="1" applyBorder="1" applyAlignment="1">
      <alignment horizontal="center"/>
    </xf>
    <xf numFmtId="171" fontId="0" fillId="4" borderId="8" xfId="0" applyNumberFormat="1" applyFill="1" applyBorder="1" applyAlignment="1">
      <alignment horizontal="center"/>
    </xf>
    <xf numFmtId="0" fontId="5" fillId="10" borderId="11" xfId="0" applyFont="1" applyFill="1" applyBorder="1" applyAlignment="1">
      <alignment horizontal="center" vertical="center"/>
    </xf>
    <xf numFmtId="171" fontId="5" fillId="4" borderId="5" xfId="0" applyNumberFormat="1" applyFont="1" applyFill="1" applyBorder="1"/>
    <xf numFmtId="166" fontId="41" fillId="4" borderId="0" xfId="0" applyNumberFormat="1" applyFont="1" applyFill="1" applyAlignment="1">
      <alignment horizontal="center" vertical="center"/>
    </xf>
    <xf numFmtId="0" fontId="40" fillId="4" borderId="0" xfId="0" applyFont="1" applyFill="1" applyAlignment="1">
      <alignment horizontal="center" vertical="center"/>
    </xf>
    <xf numFmtId="169" fontId="24" fillId="4" borderId="0" xfId="0" applyNumberFormat="1" applyFont="1" applyFill="1" applyAlignment="1">
      <alignment horizontal="center" vertical="center"/>
    </xf>
    <xf numFmtId="0" fontId="41" fillId="4" borderId="0" xfId="0" applyFont="1" applyFill="1" applyAlignment="1">
      <alignment horizontal="center"/>
    </xf>
    <xf numFmtId="0" fontId="40" fillId="4" borderId="0" xfId="0" applyFont="1" applyFill="1" applyAlignment="1">
      <alignment horizontal="center"/>
    </xf>
    <xf numFmtId="169" fontId="42" fillId="4" borderId="0" xfId="0" applyNumberFormat="1" applyFont="1" applyFill="1" applyAlignment="1">
      <alignment horizontal="center" vertical="center"/>
    </xf>
    <xf numFmtId="0" fontId="42" fillId="4" borderId="0" xfId="0" applyFont="1" applyFill="1" applyAlignment="1">
      <alignment horizontal="center"/>
    </xf>
    <xf numFmtId="168" fontId="6" fillId="3" borderId="0" xfId="0" applyNumberFormat="1" applyFont="1" applyFill="1"/>
    <xf numFmtId="168" fontId="43" fillId="3" borderId="7" xfId="0" applyNumberFormat="1" applyFont="1" applyFill="1" applyBorder="1"/>
    <xf numFmtId="0" fontId="3" fillId="3" borderId="0" xfId="0" applyFont="1" applyFill="1" applyAlignment="1">
      <alignment horizontal="center" vertical="center"/>
    </xf>
    <xf numFmtId="168" fontId="6" fillId="3" borderId="3" xfId="0" applyNumberFormat="1" applyFont="1" applyFill="1" applyBorder="1" applyAlignment="1">
      <alignment horizontal="center" vertical="center"/>
    </xf>
    <xf numFmtId="0" fontId="39" fillId="0" borderId="3" xfId="0" applyFont="1" applyBorder="1" applyAlignment="1">
      <alignment horizontal="left" vertical="center"/>
    </xf>
    <xf numFmtId="0" fontId="39" fillId="0" borderId="4" xfId="0" applyFont="1" applyBorder="1" applyAlignment="1">
      <alignment horizontal="left" vertical="center"/>
    </xf>
    <xf numFmtId="0" fontId="24" fillId="8" borderId="0" xfId="0" applyFont="1" applyFill="1" applyAlignment="1">
      <alignment horizontal="center" vertical="center" wrapText="1"/>
    </xf>
    <xf numFmtId="0" fontId="45" fillId="3" borderId="0" xfId="0" applyFont="1" applyFill="1" applyAlignment="1">
      <alignment vertical="top" wrapText="1"/>
    </xf>
    <xf numFmtId="0" fontId="46" fillId="3" borderId="0" xfId="0" applyFont="1" applyFill="1" applyAlignment="1">
      <alignment vertical="top" wrapText="1"/>
    </xf>
    <xf numFmtId="0" fontId="25" fillId="3" borderId="0" xfId="0" applyFont="1" applyFill="1" applyAlignment="1">
      <alignment vertical="top" wrapText="1"/>
    </xf>
    <xf numFmtId="0" fontId="47" fillId="3" borderId="0" xfId="0" applyFont="1" applyFill="1" applyAlignment="1">
      <alignment vertical="top" wrapText="1"/>
    </xf>
    <xf numFmtId="17" fontId="15" fillId="3" borderId="0" xfId="0" applyNumberFormat="1" applyFont="1" applyFill="1" applyAlignment="1">
      <alignment horizontal="center" vertical="center"/>
    </xf>
    <xf numFmtId="0" fontId="50" fillId="2" borderId="0" xfId="0" applyFont="1" applyFill="1" applyAlignment="1">
      <alignment vertical="center"/>
    </xf>
    <xf numFmtId="0" fontId="7" fillId="3" borderId="0" xfId="0" applyFont="1" applyFill="1" applyAlignment="1">
      <alignment horizontal="left" vertical="top" wrapText="1"/>
    </xf>
    <xf numFmtId="0" fontId="7" fillId="13" borderId="0" xfId="0" applyFont="1" applyFill="1" applyAlignment="1">
      <alignment vertical="top" wrapText="1"/>
    </xf>
    <xf numFmtId="0" fontId="24" fillId="8" borderId="0" xfId="0" applyFont="1" applyFill="1" applyAlignment="1">
      <alignment horizontal="left" vertical="center" wrapText="1"/>
    </xf>
    <xf numFmtId="166" fontId="44" fillId="2" borderId="0" xfId="1" applyFont="1" applyFill="1"/>
    <xf numFmtId="166" fontId="5" fillId="2" borderId="0" xfId="1" applyFont="1" applyFill="1" applyAlignment="1">
      <alignment horizontal="left" vertical="center"/>
    </xf>
    <xf numFmtId="166" fontId="4" fillId="2" borderId="0" xfId="1" applyFont="1" applyFill="1" applyAlignment="1">
      <alignment horizontal="left" vertical="center"/>
    </xf>
    <xf numFmtId="0" fontId="51" fillId="2" borderId="0" xfId="1" applyNumberFormat="1" applyFont="1" applyFill="1" applyAlignment="1">
      <alignment horizontal="left" vertical="center"/>
    </xf>
    <xf numFmtId="166" fontId="52" fillId="2" borderId="0" xfId="1" applyFont="1" applyFill="1"/>
    <xf numFmtId="166" fontId="52" fillId="2" borderId="0" xfId="1" applyFont="1" applyFill="1" applyAlignment="1">
      <alignment horizontal="left"/>
    </xf>
    <xf numFmtId="166" fontId="52" fillId="2" borderId="0" xfId="0" applyNumberFormat="1" applyFont="1" applyFill="1"/>
    <xf numFmtId="166" fontId="52" fillId="2" borderId="0" xfId="4" applyFont="1" applyFill="1"/>
    <xf numFmtId="166" fontId="53" fillId="2" borderId="0" xfId="1" applyFont="1" applyFill="1"/>
    <xf numFmtId="166" fontId="54" fillId="2" borderId="0" xfId="1" applyFont="1" applyFill="1"/>
    <xf numFmtId="166" fontId="52" fillId="2" borderId="0" xfId="1" applyFont="1" applyFill="1" applyAlignment="1">
      <alignment horizontal="right" vertical="top" wrapText="1"/>
    </xf>
    <xf numFmtId="166" fontId="52" fillId="2" borderId="0" xfId="1" applyFont="1" applyFill="1" applyAlignment="1">
      <alignment vertical="top" wrapText="1"/>
    </xf>
    <xf numFmtId="0" fontId="5" fillId="15" borderId="1" xfId="0" applyFont="1" applyFill="1" applyBorder="1" applyAlignment="1">
      <alignment horizontal="left"/>
    </xf>
    <xf numFmtId="0" fontId="5"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5" borderId="1" xfId="0" applyFill="1" applyBorder="1" applyAlignment="1">
      <alignment horizontal="left"/>
    </xf>
    <xf numFmtId="0" fontId="0" fillId="15" borderId="1" xfId="0" applyFill="1" applyBorder="1" applyAlignment="1">
      <alignment horizontal="right"/>
    </xf>
    <xf numFmtId="0" fontId="49"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55" fillId="0" borderId="1" xfId="0" applyFont="1" applyBorder="1"/>
    <xf numFmtId="166" fontId="55" fillId="0" borderId="1" xfId="0" applyNumberFormat="1" applyFont="1" applyBorder="1" applyAlignment="1">
      <alignment horizontal="left"/>
    </xf>
    <xf numFmtId="169" fontId="9" fillId="13" borderId="2" xfId="3" applyNumberFormat="1" applyFont="1" applyFill="1" applyBorder="1" applyAlignment="1">
      <alignment vertical="center"/>
    </xf>
    <xf numFmtId="169" fontId="9" fillId="13" borderId="0" xfId="3" applyNumberFormat="1" applyFont="1" applyFill="1" applyAlignment="1">
      <alignment vertical="center"/>
    </xf>
    <xf numFmtId="0" fontId="3" fillId="2" borderId="8" xfId="1" applyNumberFormat="1" applyFont="1" applyFill="1" applyBorder="1" applyAlignment="1">
      <alignment horizontal="left" vertical="center"/>
    </xf>
    <xf numFmtId="9" fontId="3" fillId="2" borderId="32" xfId="1" applyNumberFormat="1" applyFont="1" applyFill="1" applyBorder="1" applyAlignment="1">
      <alignment horizontal="left" vertical="center"/>
    </xf>
    <xf numFmtId="166" fontId="3" fillId="2" borderId="7" xfId="1" applyFont="1" applyFill="1" applyBorder="1" applyAlignment="1">
      <alignment horizontal="left"/>
    </xf>
    <xf numFmtId="171" fontId="3" fillId="4" borderId="1" xfId="0" applyNumberFormat="1" applyFont="1" applyFill="1" applyBorder="1" applyAlignment="1">
      <alignment horizontal="center"/>
    </xf>
    <xf numFmtId="166" fontId="3" fillId="11" borderId="1" xfId="1" applyFont="1" applyFill="1" applyBorder="1" applyAlignment="1">
      <alignment horizontal="center"/>
    </xf>
    <xf numFmtId="0" fontId="0" fillId="0" borderId="15" xfId="0" applyBorder="1" applyAlignment="1">
      <alignment horizontal="center"/>
    </xf>
    <xf numFmtId="0" fontId="24" fillId="0" borderId="8" xfId="0" applyFont="1" applyBorder="1" applyAlignment="1">
      <alignment horizontal="center"/>
    </xf>
    <xf numFmtId="0" fontId="24" fillId="0" borderId="22" xfId="0" applyFont="1" applyBorder="1" applyAlignment="1">
      <alignment horizontal="center"/>
    </xf>
    <xf numFmtId="0" fontId="56" fillId="4" borderId="1" xfId="0" applyFont="1" applyFill="1" applyBorder="1" applyAlignment="1">
      <alignment horizontal="center" vertical="center"/>
    </xf>
    <xf numFmtId="166" fontId="56" fillId="4" borderId="1" xfId="0" applyNumberFormat="1" applyFont="1" applyFill="1" applyBorder="1" applyAlignment="1">
      <alignment horizontal="center" vertical="center"/>
    </xf>
    <xf numFmtId="0" fontId="57" fillId="3" borderId="0" xfId="0" applyFont="1" applyFill="1" applyAlignment="1">
      <alignment horizontal="center" vertical="center"/>
    </xf>
    <xf numFmtId="0" fontId="57" fillId="3" borderId="0" xfId="0" applyFont="1" applyFill="1" applyAlignment="1">
      <alignment vertical="center"/>
    </xf>
    <xf numFmtId="0" fontId="57" fillId="3" borderId="0" xfId="0" applyFont="1" applyFill="1" applyAlignment="1">
      <alignment horizontal="left" vertical="center"/>
    </xf>
    <xf numFmtId="0" fontId="58" fillId="4" borderId="1" xfId="0" applyFont="1" applyFill="1" applyBorder="1" applyAlignment="1">
      <alignment horizontal="center"/>
    </xf>
    <xf numFmtId="0" fontId="60" fillId="3" borderId="1" xfId="0" applyFont="1" applyFill="1" applyBorder="1" applyAlignment="1">
      <alignment horizontal="center"/>
    </xf>
    <xf numFmtId="166" fontId="60" fillId="3" borderId="1" xfId="0" applyNumberFormat="1" applyFont="1" applyFill="1" applyBorder="1" applyAlignment="1">
      <alignment horizontal="center"/>
    </xf>
    <xf numFmtId="0" fontId="60" fillId="3" borderId="0" xfId="0" applyFont="1" applyFill="1" applyAlignment="1">
      <alignment horizontal="center"/>
    </xf>
    <xf numFmtId="0" fontId="60" fillId="3" borderId="0" xfId="0" applyFont="1" applyFill="1"/>
    <xf numFmtId="166" fontId="60" fillId="3" borderId="0" xfId="0" applyNumberFormat="1" applyFont="1" applyFill="1" applyAlignment="1">
      <alignment horizontal="left"/>
    </xf>
    <xf numFmtId="0" fontId="60" fillId="3" borderId="0" xfId="0" applyFont="1" applyFill="1" applyAlignment="1">
      <alignment horizontal="left"/>
    </xf>
    <xf numFmtId="166" fontId="60" fillId="3" borderId="1" xfId="1" applyFont="1" applyFill="1" applyBorder="1" applyAlignment="1">
      <alignment horizontal="center"/>
    </xf>
    <xf numFmtId="0" fontId="60" fillId="3" borderId="0" xfId="0" applyFont="1" applyFill="1" applyAlignment="1">
      <alignment vertical="center" wrapText="1"/>
    </xf>
    <xf numFmtId="166" fontId="58" fillId="4" borderId="1" xfId="0" applyNumberFormat="1" applyFont="1" applyFill="1" applyBorder="1" applyAlignment="1">
      <alignment horizontal="center"/>
    </xf>
    <xf numFmtId="0" fontId="58" fillId="4" borderId="13" xfId="0" applyFont="1" applyFill="1" applyBorder="1" applyAlignment="1">
      <alignment horizontal="center"/>
    </xf>
    <xf numFmtId="0" fontId="60" fillId="3" borderId="13" xfId="0" applyFont="1" applyFill="1" applyBorder="1" applyAlignment="1">
      <alignment horizontal="center"/>
    </xf>
    <xf numFmtId="166" fontId="60" fillId="3" borderId="13" xfId="0" applyNumberFormat="1" applyFont="1" applyFill="1" applyBorder="1" applyAlignment="1">
      <alignment horizontal="center"/>
    </xf>
    <xf numFmtId="0" fontId="58" fillId="4" borderId="14" xfId="0" applyFont="1" applyFill="1" applyBorder="1" applyAlignment="1">
      <alignment horizontal="center"/>
    </xf>
    <xf numFmtId="0" fontId="58" fillId="4" borderId="15" xfId="0" applyFont="1" applyFill="1" applyBorder="1" applyAlignment="1">
      <alignment horizontal="center"/>
    </xf>
    <xf numFmtId="0" fontId="58" fillId="4" borderId="16" xfId="0" applyFont="1" applyFill="1" applyBorder="1" applyAlignment="1">
      <alignment horizontal="center"/>
    </xf>
    <xf numFmtId="0" fontId="60" fillId="3" borderId="15" xfId="0" applyFont="1" applyFill="1" applyBorder="1" applyAlignment="1">
      <alignment horizontal="center"/>
    </xf>
    <xf numFmtId="166" fontId="60" fillId="3" borderId="15" xfId="0" applyNumberFormat="1" applyFont="1" applyFill="1" applyBorder="1" applyAlignment="1">
      <alignment horizontal="center"/>
    </xf>
    <xf numFmtId="166" fontId="60" fillId="3" borderId="15" xfId="1" applyFont="1" applyFill="1" applyBorder="1" applyAlignment="1">
      <alignment horizontal="center"/>
    </xf>
    <xf numFmtId="166" fontId="60" fillId="3" borderId="16" xfId="0" applyNumberFormat="1" applyFont="1" applyFill="1" applyBorder="1" applyAlignment="1">
      <alignment horizontal="center"/>
    </xf>
    <xf numFmtId="0" fontId="58" fillId="4" borderId="18" xfId="0" applyFont="1" applyFill="1" applyBorder="1" applyAlignment="1">
      <alignment horizontal="center"/>
    </xf>
    <xf numFmtId="166" fontId="60" fillId="3" borderId="18" xfId="0" applyNumberFormat="1" applyFont="1" applyFill="1" applyBorder="1" applyAlignment="1">
      <alignment horizontal="center"/>
    </xf>
    <xf numFmtId="0" fontId="58" fillId="4" borderId="20" xfId="0" applyFont="1" applyFill="1" applyBorder="1" applyAlignment="1">
      <alignment horizontal="center"/>
    </xf>
    <xf numFmtId="0" fontId="58" fillId="4" borderId="21" xfId="0" applyFont="1" applyFill="1" applyBorder="1" applyAlignment="1">
      <alignment horizontal="center"/>
    </xf>
    <xf numFmtId="166" fontId="60" fillId="3" borderId="20" xfId="0" applyNumberFormat="1" applyFont="1" applyFill="1" applyBorder="1" applyAlignment="1">
      <alignment horizontal="center"/>
    </xf>
    <xf numFmtId="166" fontId="60" fillId="3" borderId="20" xfId="1" applyFont="1" applyFill="1" applyBorder="1" applyAlignment="1">
      <alignment horizontal="center"/>
    </xf>
    <xf numFmtId="0" fontId="60" fillId="3" borderId="20" xfId="0" applyFont="1" applyFill="1" applyBorder="1" applyAlignment="1">
      <alignment horizontal="center"/>
    </xf>
    <xf numFmtId="166" fontId="60" fillId="3" borderId="21" xfId="0" applyNumberFormat="1" applyFont="1" applyFill="1" applyBorder="1" applyAlignment="1">
      <alignment horizontal="center"/>
    </xf>
    <xf numFmtId="0" fontId="58" fillId="9" borderId="14" xfId="0" applyFont="1" applyFill="1" applyBorder="1" applyAlignment="1">
      <alignment horizontal="center"/>
    </xf>
    <xf numFmtId="0" fontId="58" fillId="9" borderId="17" xfId="0" applyFont="1" applyFill="1" applyBorder="1" applyAlignment="1">
      <alignment horizontal="center"/>
    </xf>
    <xf numFmtId="0" fontId="58" fillId="4" borderId="0" xfId="0" applyFont="1" applyFill="1" applyAlignment="1">
      <alignment horizontal="left"/>
    </xf>
    <xf numFmtId="0" fontId="58" fillId="4" borderId="0" xfId="0" applyFont="1" applyFill="1" applyAlignment="1">
      <alignment horizontal="center"/>
    </xf>
    <xf numFmtId="166" fontId="58" fillId="4" borderId="0" xfId="0" applyNumberFormat="1" applyFont="1" applyFill="1" applyAlignment="1">
      <alignment horizontal="center"/>
    </xf>
    <xf numFmtId="0" fontId="59" fillId="3" borderId="0" xfId="0" applyFont="1" applyFill="1" applyAlignment="1">
      <alignment horizontal="center"/>
    </xf>
    <xf numFmtId="166" fontId="60" fillId="3" borderId="0" xfId="0" applyNumberFormat="1" applyFont="1" applyFill="1" applyAlignment="1">
      <alignment horizontal="center"/>
    </xf>
    <xf numFmtId="0" fontId="64" fillId="2" borderId="0" xfId="0" applyFont="1" applyFill="1" applyAlignment="1">
      <alignment horizontal="center" vertical="center"/>
    </xf>
    <xf numFmtId="0" fontId="65" fillId="3" borderId="0" xfId="0" applyFont="1" applyFill="1" applyAlignment="1">
      <alignment vertical="center"/>
    </xf>
    <xf numFmtId="1" fontId="66" fillId="3" borderId="0" xfId="0" applyNumberFormat="1" applyFont="1" applyFill="1" applyAlignment="1">
      <alignment horizontal="center" vertical="center"/>
    </xf>
    <xf numFmtId="166" fontId="66" fillId="3" borderId="0" xfId="0" applyNumberFormat="1" applyFont="1" applyFill="1" applyAlignment="1">
      <alignment horizontal="center" vertical="center"/>
    </xf>
    <xf numFmtId="0" fontId="66" fillId="3" borderId="0" xfId="0" applyFont="1" applyFill="1" applyAlignment="1">
      <alignment horizontal="center" vertical="center"/>
    </xf>
    <xf numFmtId="2" fontId="66" fillId="3" borderId="0" xfId="0" applyNumberFormat="1" applyFont="1" applyFill="1" applyAlignment="1">
      <alignment horizontal="center" vertical="center"/>
    </xf>
    <xf numFmtId="167" fontId="66" fillId="3" borderId="0" xfId="0" applyNumberFormat="1" applyFont="1" applyFill="1" applyAlignment="1">
      <alignment horizontal="center" vertical="center"/>
    </xf>
    <xf numFmtId="0" fontId="66" fillId="0" borderId="0" xfId="0" applyFont="1" applyAlignment="1">
      <alignment vertical="center"/>
    </xf>
    <xf numFmtId="0" fontId="65" fillId="0" borderId="0" xfId="0" applyFont="1" applyAlignment="1">
      <alignment vertical="center"/>
    </xf>
    <xf numFmtId="169" fontId="65" fillId="0" borderId="0" xfId="0" applyNumberFormat="1" applyFont="1" applyAlignment="1">
      <alignment vertical="center"/>
    </xf>
    <xf numFmtId="167" fontId="66" fillId="0" borderId="0" xfId="0" applyNumberFormat="1" applyFont="1" applyAlignment="1">
      <alignment vertical="center"/>
    </xf>
    <xf numFmtId="0" fontId="67" fillId="0" borderId="0" xfId="0" applyFont="1" applyAlignment="1">
      <alignment vertical="center"/>
    </xf>
    <xf numFmtId="167" fontId="68" fillId="0" borderId="0" xfId="0" applyNumberFormat="1" applyFont="1" applyAlignment="1">
      <alignment vertical="center"/>
    </xf>
    <xf numFmtId="166" fontId="67" fillId="0" borderId="0" xfId="0" applyNumberFormat="1" applyFont="1" applyAlignment="1">
      <alignment vertical="center"/>
    </xf>
    <xf numFmtId="1" fontId="67" fillId="0" borderId="0" xfId="0" applyNumberFormat="1" applyFont="1" applyAlignment="1">
      <alignment horizontal="center" vertical="center"/>
    </xf>
    <xf numFmtId="167" fontId="67" fillId="0" borderId="0" xfId="0" applyNumberFormat="1" applyFont="1" applyAlignment="1">
      <alignment horizontal="center" vertical="center" wrapText="1"/>
    </xf>
    <xf numFmtId="166" fontId="68" fillId="0" borderId="0" xfId="0" applyNumberFormat="1" applyFont="1" applyAlignment="1">
      <alignment horizontal="center" vertical="center"/>
    </xf>
    <xf numFmtId="0" fontId="67" fillId="0" borderId="0" xfId="0" applyFont="1" applyAlignment="1">
      <alignment horizontal="center" vertical="center"/>
    </xf>
    <xf numFmtId="167" fontId="67" fillId="0" borderId="0" xfId="0" applyNumberFormat="1" applyFont="1" applyAlignment="1">
      <alignment horizontal="center" vertical="center"/>
    </xf>
    <xf numFmtId="166" fontId="67" fillId="0" borderId="0" xfId="0" applyNumberFormat="1" applyFont="1" applyAlignment="1">
      <alignment horizontal="center" vertical="center"/>
    </xf>
    <xf numFmtId="166" fontId="65" fillId="0" borderId="0" xfId="0" applyNumberFormat="1" applyFont="1" applyAlignment="1">
      <alignment horizontal="center" vertical="center"/>
    </xf>
    <xf numFmtId="169" fontId="66" fillId="0" borderId="0" xfId="0" applyNumberFormat="1" applyFont="1" applyAlignment="1">
      <alignment vertical="center"/>
    </xf>
    <xf numFmtId="0" fontId="69" fillId="0" borderId="0" xfId="0" applyFont="1" applyAlignment="1">
      <alignment vertical="center"/>
    </xf>
    <xf numFmtId="0" fontId="68" fillId="0" borderId="0" xfId="0" applyFont="1" applyAlignment="1">
      <alignment vertical="center" wrapText="1"/>
    </xf>
    <xf numFmtId="166" fontId="68" fillId="0" borderId="0" xfId="0" applyNumberFormat="1" applyFont="1" applyAlignment="1">
      <alignment vertical="center"/>
    </xf>
    <xf numFmtId="0" fontId="66" fillId="0" borderId="0" xfId="0" applyFont="1" applyAlignment="1">
      <alignment horizontal="center" vertical="center"/>
    </xf>
    <xf numFmtId="167" fontId="67" fillId="0" borderId="0" xfId="0" applyNumberFormat="1" applyFont="1" applyAlignment="1">
      <alignment vertical="center" wrapText="1"/>
    </xf>
    <xf numFmtId="2" fontId="67" fillId="0" borderId="0" xfId="0" applyNumberFormat="1" applyFont="1" applyAlignment="1">
      <alignment vertical="center"/>
    </xf>
    <xf numFmtId="164" fontId="66" fillId="0" borderId="0" xfId="0" applyNumberFormat="1" applyFont="1" applyAlignment="1">
      <alignment vertical="center"/>
    </xf>
    <xf numFmtId="0" fontId="68" fillId="0" borderId="0" xfId="0" applyFont="1" applyAlignment="1">
      <alignment vertical="center"/>
    </xf>
    <xf numFmtId="166" fontId="68" fillId="0" borderId="0" xfId="1" applyFont="1" applyAlignment="1">
      <alignment horizontal="center" vertical="center"/>
    </xf>
    <xf numFmtId="166" fontId="66" fillId="0" borderId="0" xfId="1" applyFont="1" applyAlignment="1">
      <alignment vertical="center"/>
    </xf>
    <xf numFmtId="167" fontId="66" fillId="0" borderId="0" xfId="0" applyNumberFormat="1" applyFont="1" applyAlignment="1">
      <alignment horizontal="center" vertical="center"/>
    </xf>
    <xf numFmtId="166" fontId="68" fillId="0" borderId="0" xfId="0" applyNumberFormat="1" applyFont="1" applyAlignment="1">
      <alignment horizontal="center" vertical="center" wrapText="1"/>
    </xf>
    <xf numFmtId="1" fontId="66" fillId="0" borderId="0" xfId="0" applyNumberFormat="1" applyFont="1" applyAlignment="1">
      <alignment horizontal="center" vertical="center"/>
    </xf>
    <xf numFmtId="166" fontId="66" fillId="0" borderId="0" xfId="0" applyNumberFormat="1" applyFont="1" applyAlignment="1">
      <alignment horizontal="center" vertical="center"/>
    </xf>
    <xf numFmtId="0" fontId="71" fillId="6" borderId="0" xfId="0" applyFont="1" applyFill="1" applyAlignment="1">
      <alignment horizontal="center" vertical="center"/>
    </xf>
    <xf numFmtId="166" fontId="71" fillId="6" borderId="0" xfId="0" applyNumberFormat="1" applyFont="1" applyFill="1" applyAlignment="1">
      <alignment horizontal="center" vertical="center"/>
    </xf>
    <xf numFmtId="9" fontId="71" fillId="6" borderId="0" xfId="0" applyNumberFormat="1" applyFont="1" applyFill="1" applyAlignment="1">
      <alignment horizontal="center" vertical="center"/>
    </xf>
    <xf numFmtId="166" fontId="70" fillId="8" borderId="0" xfId="0" applyNumberFormat="1" applyFont="1" applyFill="1" applyAlignment="1">
      <alignment horizontal="center" vertical="center"/>
    </xf>
    <xf numFmtId="1" fontId="65" fillId="5" borderId="0" xfId="0" applyNumberFormat="1" applyFont="1" applyFill="1" applyAlignment="1">
      <alignment horizontal="center" vertical="center" wrapText="1"/>
    </xf>
    <xf numFmtId="1" fontId="65" fillId="5" borderId="0" xfId="0" applyNumberFormat="1" applyFont="1" applyFill="1" applyAlignment="1">
      <alignment horizontal="center" vertical="center"/>
    </xf>
    <xf numFmtId="166" fontId="65" fillId="5" borderId="0" xfId="0" applyNumberFormat="1" applyFont="1" applyFill="1" applyAlignment="1">
      <alignment horizontal="center" vertical="center" wrapText="1"/>
    </xf>
    <xf numFmtId="0" fontId="65" fillId="5" borderId="0" xfId="0" applyFont="1" applyFill="1" applyAlignment="1">
      <alignment horizontal="center" vertical="center" wrapText="1"/>
    </xf>
    <xf numFmtId="2" fontId="65" fillId="5" borderId="0" xfId="0" applyNumberFormat="1" applyFont="1" applyFill="1" applyAlignment="1">
      <alignment horizontal="center" vertical="center" wrapText="1"/>
    </xf>
    <xf numFmtId="167" fontId="65" fillId="5" borderId="0" xfId="0" applyNumberFormat="1" applyFont="1" applyFill="1" applyAlignment="1">
      <alignment horizontal="center" vertical="center" wrapText="1"/>
    </xf>
    <xf numFmtId="166" fontId="65" fillId="5" borderId="0" xfId="0" applyNumberFormat="1" applyFont="1" applyFill="1" applyAlignment="1">
      <alignment horizontal="center" vertical="center"/>
    </xf>
    <xf numFmtId="164" fontId="65" fillId="0" borderId="0" xfId="0" applyNumberFormat="1" applyFont="1" applyAlignment="1">
      <alignment vertical="center"/>
    </xf>
    <xf numFmtId="0" fontId="65" fillId="0" borderId="0" xfId="0" applyFont="1" applyAlignment="1">
      <alignment horizontal="center" vertical="center" wrapText="1"/>
    </xf>
    <xf numFmtId="1" fontId="65" fillId="0" borderId="0" xfId="0" applyNumberFormat="1" applyFont="1" applyAlignment="1">
      <alignment horizontal="center" vertical="center" wrapText="1"/>
    </xf>
    <xf numFmtId="1" fontId="71" fillId="0" borderId="0" xfId="0" applyNumberFormat="1" applyFont="1" applyAlignment="1">
      <alignment horizontal="center" vertical="center" wrapText="1"/>
    </xf>
    <xf numFmtId="166" fontId="65" fillId="0" borderId="0" xfId="0" applyNumberFormat="1" applyFont="1" applyAlignment="1">
      <alignment horizontal="center" vertical="center" wrapText="1"/>
    </xf>
    <xf numFmtId="2" fontId="65" fillId="0" borderId="0" xfId="0" applyNumberFormat="1" applyFont="1" applyAlignment="1">
      <alignment horizontal="center" vertical="center" wrapText="1"/>
    </xf>
    <xf numFmtId="167" fontId="65" fillId="0" borderId="0" xfId="0" applyNumberFormat="1" applyFont="1" applyAlignment="1">
      <alignment horizontal="center" vertical="center" wrapText="1"/>
    </xf>
    <xf numFmtId="1" fontId="71" fillId="6" borderId="0" xfId="0" applyNumberFormat="1" applyFont="1" applyFill="1" applyAlignment="1">
      <alignment horizontal="center" vertical="center" wrapText="1"/>
    </xf>
    <xf numFmtId="0" fontId="71" fillId="6" borderId="0" xfId="0" applyFont="1" applyFill="1" applyAlignment="1">
      <alignment horizontal="center" vertical="center" wrapText="1"/>
    </xf>
    <xf numFmtId="166" fontId="65" fillId="6" borderId="0" xfId="0" applyNumberFormat="1" applyFont="1" applyFill="1" applyAlignment="1">
      <alignment horizontal="center" vertical="center" wrapText="1"/>
    </xf>
    <xf numFmtId="166" fontId="71" fillId="6" borderId="0" xfId="1" applyFont="1" applyFill="1" applyAlignment="1">
      <alignment horizontal="center" vertical="center" wrapText="1"/>
    </xf>
    <xf numFmtId="0" fontId="73" fillId="5" borderId="0" xfId="0" applyFont="1" applyFill="1" applyAlignment="1">
      <alignment vertical="center" wrapText="1"/>
    </xf>
    <xf numFmtId="0" fontId="73" fillId="5" borderId="0" xfId="0" applyFont="1" applyFill="1" applyAlignment="1">
      <alignment horizontal="center" vertical="center" wrapText="1"/>
    </xf>
    <xf numFmtId="1" fontId="73" fillId="5" borderId="0" xfId="0" applyNumberFormat="1" applyFont="1" applyFill="1" applyAlignment="1">
      <alignment horizontal="center" vertical="center" wrapText="1"/>
    </xf>
    <xf numFmtId="166" fontId="74" fillId="5" borderId="0" xfId="0" applyNumberFormat="1" applyFont="1" applyFill="1" applyAlignment="1">
      <alignment horizontal="center" vertical="center" wrapText="1"/>
    </xf>
    <xf numFmtId="0" fontId="66" fillId="5" borderId="0" xfId="0" applyFont="1" applyFill="1" applyAlignment="1">
      <alignment horizontal="center" vertical="center"/>
    </xf>
    <xf numFmtId="167" fontId="66" fillId="5" borderId="0" xfId="0" applyNumberFormat="1" applyFont="1" applyFill="1" applyAlignment="1">
      <alignment horizontal="center" vertical="center"/>
    </xf>
    <xf numFmtId="166" fontId="66" fillId="5" borderId="0" xfId="0" applyNumberFormat="1" applyFont="1" applyFill="1" applyAlignment="1">
      <alignment horizontal="center" vertical="center"/>
    </xf>
    <xf numFmtId="0" fontId="66" fillId="3" borderId="0" xfId="0" applyFont="1" applyFill="1" applyAlignment="1">
      <alignment vertical="top" wrapText="1"/>
    </xf>
    <xf numFmtId="1" fontId="75" fillId="2" borderId="1" xfId="0" applyNumberFormat="1" applyFont="1" applyFill="1" applyBorder="1" applyAlignment="1">
      <alignment horizontal="center" vertical="center" wrapText="1"/>
    </xf>
    <xf numFmtId="0" fontId="75" fillId="4" borderId="1" xfId="0" applyFont="1" applyFill="1" applyBorder="1" applyAlignment="1" applyProtection="1">
      <alignment horizontal="center" vertical="center" wrapText="1"/>
      <protection locked="0"/>
    </xf>
    <xf numFmtId="0" fontId="75" fillId="4" borderId="1" xfId="0" applyFont="1" applyFill="1" applyBorder="1" applyAlignment="1">
      <alignment horizontal="center" wrapText="1"/>
    </xf>
    <xf numFmtId="0" fontId="72" fillId="2" borderId="1" xfId="0" applyFont="1" applyFill="1" applyBorder="1" applyAlignment="1">
      <alignment horizontal="center" vertical="center" wrapText="1"/>
    </xf>
    <xf numFmtId="166" fontId="76" fillId="3" borderId="0" xfId="4" applyFont="1" applyFill="1" applyAlignment="1">
      <alignment horizontal="center" vertical="top" wrapText="1"/>
    </xf>
    <xf numFmtId="166" fontId="76" fillId="3" borderId="0" xfId="1" applyFont="1" applyFill="1" applyAlignment="1">
      <alignment horizontal="center" vertical="center" wrapText="1"/>
    </xf>
    <xf numFmtId="9" fontId="75" fillId="4" borderId="1" xfId="0" applyNumberFormat="1" applyFont="1" applyFill="1" applyBorder="1" applyAlignment="1">
      <alignment horizontal="center" vertical="center" wrapText="1"/>
    </xf>
    <xf numFmtId="166" fontId="65" fillId="3" borderId="0" xfId="1" applyFont="1" applyFill="1" applyAlignment="1">
      <alignment horizontal="center" vertical="center" wrapText="1"/>
    </xf>
    <xf numFmtId="166" fontId="76" fillId="3" borderId="0" xfId="0" applyNumberFormat="1" applyFont="1" applyFill="1" applyAlignment="1">
      <alignment horizontal="center" vertical="center"/>
    </xf>
    <xf numFmtId="1" fontId="75" fillId="3" borderId="1" xfId="0" applyNumberFormat="1" applyFont="1" applyFill="1" applyBorder="1" applyAlignment="1">
      <alignment horizontal="center" vertical="center" wrapText="1"/>
    </xf>
    <xf numFmtId="0" fontId="75" fillId="3" borderId="1" xfId="0" applyFont="1" applyFill="1" applyBorder="1" applyAlignment="1">
      <alignment horizontal="center" vertical="center" wrapText="1"/>
    </xf>
    <xf numFmtId="0" fontId="72" fillId="3" borderId="1" xfId="0" applyFont="1" applyFill="1" applyBorder="1" applyAlignment="1">
      <alignment horizontal="center" vertical="center"/>
    </xf>
    <xf numFmtId="0" fontId="76" fillId="3" borderId="0" xfId="0" applyFont="1" applyFill="1" applyAlignment="1">
      <alignment vertical="center" wrapText="1"/>
    </xf>
    <xf numFmtId="166" fontId="66" fillId="0" borderId="0" xfId="0" applyNumberFormat="1" applyFont="1" applyAlignment="1">
      <alignment vertical="center"/>
    </xf>
    <xf numFmtId="0" fontId="66" fillId="3" borderId="1" xfId="0" applyFont="1" applyFill="1" applyBorder="1" applyAlignment="1">
      <alignment vertical="center"/>
    </xf>
    <xf numFmtId="0" fontId="66" fillId="3" borderId="2" xfId="0" applyFont="1" applyFill="1" applyBorder="1" applyAlignment="1">
      <alignment vertical="center" wrapText="1"/>
    </xf>
    <xf numFmtId="0" fontId="66" fillId="3" borderId="0" xfId="0" applyFont="1" applyFill="1" applyAlignment="1">
      <alignment vertical="center" wrapText="1"/>
    </xf>
    <xf numFmtId="0" fontId="65" fillId="3" borderId="0" xfId="0" applyFont="1" applyFill="1" applyAlignment="1">
      <alignment vertical="center" wrapText="1"/>
    </xf>
    <xf numFmtId="1" fontId="65" fillId="3" borderId="0" xfId="0" applyNumberFormat="1" applyFont="1" applyFill="1" applyAlignment="1">
      <alignment horizontal="center" vertical="center" wrapText="1"/>
    </xf>
    <xf numFmtId="1" fontId="76" fillId="3" borderId="0" xfId="0" applyNumberFormat="1" applyFont="1" applyFill="1" applyAlignment="1">
      <alignment horizontal="center" vertical="center" wrapText="1"/>
    </xf>
    <xf numFmtId="1" fontId="75" fillId="4" borderId="1" xfId="0" applyNumberFormat="1" applyFont="1" applyFill="1" applyBorder="1" applyAlignment="1">
      <alignment horizontal="center" vertical="center" wrapText="1"/>
    </xf>
    <xf numFmtId="0" fontId="75" fillId="3" borderId="2" xfId="0" applyFont="1" applyFill="1" applyBorder="1" applyAlignment="1">
      <alignment horizontal="center" vertical="center" wrapText="1"/>
    </xf>
    <xf numFmtId="0" fontId="66" fillId="3" borderId="0" xfId="0" applyFont="1" applyFill="1" applyAlignment="1">
      <alignment vertical="center"/>
    </xf>
    <xf numFmtId="1" fontId="77" fillId="3" borderId="0" xfId="0" applyNumberFormat="1" applyFont="1" applyFill="1" applyAlignment="1">
      <alignment horizontal="center" vertical="center" wrapText="1"/>
    </xf>
    <xf numFmtId="1" fontId="72" fillId="2" borderId="1" xfId="0" applyNumberFormat="1" applyFont="1" applyFill="1" applyBorder="1" applyAlignment="1">
      <alignment horizontal="center" vertical="center" wrapText="1"/>
    </xf>
    <xf numFmtId="0" fontId="75" fillId="3" borderId="0" xfId="0" applyFont="1" applyFill="1" applyAlignment="1">
      <alignment horizontal="center" vertical="center"/>
    </xf>
    <xf numFmtId="0" fontId="76" fillId="3" borderId="0" xfId="0" applyFont="1" applyFill="1" applyAlignment="1">
      <alignment horizontal="center" vertical="center"/>
    </xf>
    <xf numFmtId="2" fontId="75" fillId="3" borderId="0" xfId="0" applyNumberFormat="1" applyFont="1" applyFill="1" applyAlignment="1">
      <alignment horizontal="center" vertical="center"/>
    </xf>
    <xf numFmtId="0" fontId="75" fillId="3" borderId="0" xfId="0" applyFont="1" applyFill="1" applyAlignment="1">
      <alignment horizontal="left" vertical="center" wrapText="1"/>
    </xf>
    <xf numFmtId="0" fontId="76" fillId="3" borderId="6" xfId="0" applyFont="1" applyFill="1" applyBorder="1" applyAlignment="1">
      <alignment horizontal="center" vertical="center"/>
    </xf>
    <xf numFmtId="2" fontId="78" fillId="3" borderId="6" xfId="0" applyNumberFormat="1" applyFont="1" applyFill="1" applyBorder="1" applyAlignment="1">
      <alignment horizontal="center" vertical="center"/>
    </xf>
    <xf numFmtId="2" fontId="76" fillId="3" borderId="0" xfId="0" applyNumberFormat="1" applyFont="1" applyFill="1" applyAlignment="1">
      <alignment horizontal="center" vertical="center" wrapText="1"/>
    </xf>
    <xf numFmtId="3" fontId="75" fillId="3" borderId="0" xfId="0" applyNumberFormat="1" applyFont="1" applyFill="1" applyAlignment="1">
      <alignment horizontal="center" vertical="center" wrapText="1"/>
    </xf>
    <xf numFmtId="172" fontId="75" fillId="3" borderId="0" xfId="0" applyNumberFormat="1" applyFont="1" applyFill="1" applyAlignment="1">
      <alignment horizontal="center" vertical="center" wrapText="1"/>
    </xf>
    <xf numFmtId="2" fontId="75" fillId="3" borderId="0" xfId="0" applyNumberFormat="1" applyFont="1" applyFill="1" applyAlignment="1">
      <alignment horizontal="center" vertical="center" wrapText="1"/>
    </xf>
    <xf numFmtId="0" fontId="65" fillId="3" borderId="0" xfId="0" applyFont="1" applyFill="1" applyAlignment="1">
      <alignment horizontal="center" vertical="center" wrapText="1"/>
    </xf>
    <xf numFmtId="168" fontId="66" fillId="0" borderId="0" xfId="0" applyNumberFormat="1" applyFont="1" applyAlignment="1">
      <alignment vertical="center"/>
    </xf>
    <xf numFmtId="0" fontId="78" fillId="3" borderId="6" xfId="0" applyFont="1" applyFill="1" applyBorder="1" applyAlignment="1">
      <alignment horizontal="center" vertical="center"/>
    </xf>
    <xf numFmtId="0" fontId="65" fillId="0" borderId="0" xfId="0" applyFont="1" applyAlignment="1">
      <alignment vertical="center" wrapText="1"/>
    </xf>
    <xf numFmtId="166" fontId="65" fillId="0" borderId="0" xfId="1" applyFont="1" applyAlignment="1">
      <alignment horizontal="center" vertical="center" wrapText="1"/>
    </xf>
    <xf numFmtId="9" fontId="65" fillId="0" borderId="0" xfId="0" applyNumberFormat="1" applyFont="1" applyAlignment="1">
      <alignment horizontal="center" vertical="center" wrapText="1"/>
    </xf>
    <xf numFmtId="166" fontId="71" fillId="6" borderId="0" xfId="0" applyNumberFormat="1" applyFont="1" applyFill="1" applyAlignment="1">
      <alignment horizontal="center" vertical="center" wrapText="1"/>
    </xf>
    <xf numFmtId="172" fontId="65" fillId="4" borderId="1" xfId="0" applyNumberFormat="1" applyFont="1" applyFill="1" applyBorder="1" applyAlignment="1">
      <alignment horizontal="center" vertical="center" wrapText="1"/>
    </xf>
    <xf numFmtId="0" fontId="65" fillId="4" borderId="1" xfId="0" applyFont="1" applyFill="1" applyBorder="1" applyAlignment="1">
      <alignment vertical="center" wrapText="1"/>
    </xf>
    <xf numFmtId="166" fontId="76" fillId="3" borderId="0" xfId="0" applyNumberFormat="1" applyFont="1" applyFill="1" applyAlignment="1">
      <alignment horizontal="center" vertical="center" wrapText="1"/>
    </xf>
    <xf numFmtId="1" fontId="65" fillId="4" borderId="1" xfId="0" applyNumberFormat="1" applyFont="1" applyFill="1" applyBorder="1" applyAlignment="1">
      <alignment horizontal="center" vertical="center" wrapText="1"/>
    </xf>
    <xf numFmtId="0" fontId="66" fillId="0" borderId="0" xfId="0" applyFont="1" applyAlignment="1">
      <alignment vertical="center" wrapText="1"/>
    </xf>
    <xf numFmtId="1" fontId="66" fillId="0" borderId="0" xfId="0" applyNumberFormat="1" applyFont="1" applyAlignment="1">
      <alignment horizontal="center" vertical="center" wrapText="1"/>
    </xf>
    <xf numFmtId="166" fontId="66" fillId="0" borderId="0" xfId="0" applyNumberFormat="1" applyFont="1" applyAlignment="1">
      <alignment horizontal="center" vertical="center" wrapText="1"/>
    </xf>
    <xf numFmtId="168" fontId="65" fillId="0" borderId="0" xfId="0" applyNumberFormat="1" applyFont="1" applyAlignment="1">
      <alignment horizontal="center" vertical="center" wrapText="1"/>
    </xf>
    <xf numFmtId="167" fontId="77" fillId="3" borderId="0" xfId="0" applyNumberFormat="1" applyFont="1" applyFill="1"/>
    <xf numFmtId="0" fontId="67" fillId="3" borderId="0" xfId="0" applyFont="1" applyFill="1" applyAlignment="1">
      <alignment horizontal="center"/>
    </xf>
    <xf numFmtId="0" fontId="67" fillId="3" borderId="0" xfId="0" applyFont="1" applyFill="1"/>
    <xf numFmtId="1" fontId="67" fillId="3" borderId="0" xfId="0" applyNumberFormat="1" applyFont="1" applyFill="1" applyAlignment="1">
      <alignment horizontal="center"/>
    </xf>
    <xf numFmtId="167" fontId="65" fillId="0" borderId="0" xfId="0" applyNumberFormat="1" applyFont="1" applyAlignment="1">
      <alignment vertical="center"/>
    </xf>
    <xf numFmtId="0" fontId="79" fillId="3" borderId="0" xfId="0" applyFont="1" applyFill="1"/>
    <xf numFmtId="166" fontId="79" fillId="4" borderId="0" xfId="0" applyNumberFormat="1" applyFont="1" applyFill="1" applyAlignment="1">
      <alignment horizontal="center"/>
    </xf>
    <xf numFmtId="0" fontId="79" fillId="3" borderId="0" xfId="0" applyFont="1" applyFill="1" applyAlignment="1">
      <alignment horizontal="center"/>
    </xf>
    <xf numFmtId="0" fontId="65" fillId="3" borderId="0" xfId="0" applyFont="1" applyFill="1" applyAlignment="1">
      <alignment vertical="top" wrapText="1"/>
    </xf>
    <xf numFmtId="0" fontId="19" fillId="3" borderId="0" xfId="0" applyFont="1" applyFill="1" applyAlignment="1">
      <alignment vertical="top" wrapText="1"/>
    </xf>
    <xf numFmtId="166" fontId="44" fillId="2" borderId="0" xfId="1" applyFont="1" applyFill="1" applyAlignment="1">
      <alignment horizontal="right" vertical="top" wrapText="1"/>
    </xf>
    <xf numFmtId="0" fontId="80" fillId="3" borderId="0" xfId="0" applyFont="1" applyFill="1" applyAlignment="1">
      <alignment horizontal="left" vertical="top" wrapText="1"/>
    </xf>
    <xf numFmtId="0" fontId="19" fillId="3" borderId="0" xfId="0" applyFont="1" applyFill="1" applyAlignment="1">
      <alignment horizontal="left" vertical="top" wrapText="1"/>
    </xf>
    <xf numFmtId="0" fontId="19" fillId="2" borderId="0" xfId="0" applyFont="1" applyFill="1" applyAlignment="1">
      <alignment horizontal="center" vertical="center"/>
    </xf>
    <xf numFmtId="0" fontId="7" fillId="3" borderId="2" xfId="0" applyFont="1" applyFill="1" applyBorder="1" applyAlignment="1">
      <alignment vertical="center" wrapText="1"/>
    </xf>
    <xf numFmtId="166" fontId="71" fillId="2" borderId="1" xfId="0" applyNumberFormat="1" applyFont="1" applyFill="1" applyBorder="1" applyAlignment="1">
      <alignment horizontal="center" vertical="center"/>
    </xf>
    <xf numFmtId="0" fontId="14" fillId="4" borderId="1" xfId="3" applyFont="1" applyFill="1" applyBorder="1" applyAlignment="1">
      <alignment vertical="center" wrapText="1"/>
    </xf>
    <xf numFmtId="166" fontId="17" fillId="5" borderId="1" xfId="4" applyFont="1" applyFill="1" applyBorder="1" applyAlignment="1">
      <alignment horizontal="center" vertical="top" wrapText="1"/>
    </xf>
    <xf numFmtId="0" fontId="24" fillId="4" borderId="1" xfId="3" applyFont="1" applyFill="1" applyBorder="1" applyAlignment="1">
      <alignment vertical="center" wrapText="1"/>
    </xf>
    <xf numFmtId="169" fontId="24" fillId="3" borderId="1" xfId="3" applyNumberFormat="1" applyFont="1" applyFill="1" applyBorder="1" applyAlignment="1">
      <alignment horizontal="center" vertical="center"/>
    </xf>
    <xf numFmtId="0" fontId="3" fillId="4" borderId="1" xfId="0" applyFont="1" applyFill="1" applyBorder="1" applyAlignment="1">
      <alignment horizontal="center"/>
    </xf>
    <xf numFmtId="166" fontId="18" fillId="3" borderId="0" xfId="4" applyFont="1" applyFill="1" applyAlignment="1">
      <alignment horizontal="center" vertical="top" wrapText="1"/>
    </xf>
    <xf numFmtId="166" fontId="18" fillId="5" borderId="1" xfId="4" applyFont="1" applyFill="1" applyBorder="1" applyAlignment="1">
      <alignment horizontal="center" vertical="top" wrapText="1"/>
    </xf>
    <xf numFmtId="0" fontId="83" fillId="3" borderId="0" xfId="0" applyFont="1" applyFill="1"/>
    <xf numFmtId="0" fontId="82" fillId="3" borderId="0" xfId="0" applyFont="1" applyFill="1"/>
    <xf numFmtId="166" fontId="82" fillId="2" borderId="0" xfId="1" applyFont="1" applyFill="1" applyAlignment="1">
      <alignment vertical="top" wrapText="1"/>
    </xf>
    <xf numFmtId="0" fontId="7" fillId="8" borderId="0" xfId="0" applyFont="1" applyFill="1" applyAlignment="1">
      <alignment horizontal="center" vertical="center" wrapText="1"/>
    </xf>
    <xf numFmtId="166" fontId="21" fillId="2" borderId="0" xfId="1" applyFont="1" applyFill="1"/>
    <xf numFmtId="168" fontId="84" fillId="2" borderId="0" xfId="0" applyNumberFormat="1" applyFont="1" applyFill="1"/>
    <xf numFmtId="166" fontId="25" fillId="2" borderId="0" xfId="4" applyFont="1" applyFill="1"/>
    <xf numFmtId="173" fontId="4" fillId="2" borderId="0" xfId="1" applyNumberFormat="1" applyFont="1" applyFill="1"/>
    <xf numFmtId="166" fontId="84" fillId="2" borderId="0" xfId="1" applyFont="1" applyFill="1"/>
    <xf numFmtId="166" fontId="3" fillId="2" borderId="0" xfId="1" applyFont="1" applyFill="1" applyAlignment="1">
      <alignment horizontal="left" vertical="center"/>
    </xf>
    <xf numFmtId="9" fontId="85" fillId="2" borderId="32" xfId="1" applyNumberFormat="1" applyFont="1" applyFill="1" applyBorder="1" applyAlignment="1">
      <alignment horizontal="left" vertical="center"/>
    </xf>
    <xf numFmtId="166" fontId="86" fillId="2" borderId="0" xfId="1" applyFont="1" applyFill="1" applyAlignment="1">
      <alignment horizontal="left" vertical="center"/>
    </xf>
    <xf numFmtId="166" fontId="85" fillId="2" borderId="0" xfId="1" applyFont="1" applyFill="1"/>
    <xf numFmtId="0" fontId="19" fillId="0" borderId="0" xfId="0" applyFont="1" applyAlignment="1">
      <alignment vertical="center"/>
    </xf>
    <xf numFmtId="166" fontId="13" fillId="15" borderId="0" xfId="4" applyFont="1" applyFill="1" applyAlignment="1">
      <alignment horizontal="center" vertical="top" wrapText="1"/>
    </xf>
    <xf numFmtId="0" fontId="13" fillId="2" borderId="1" xfId="0" applyFont="1" applyFill="1" applyBorder="1" applyAlignment="1">
      <alignment horizontal="center" wrapText="1"/>
    </xf>
    <xf numFmtId="0" fontId="13" fillId="2" borderId="7" xfId="0" applyFont="1" applyFill="1" applyBorder="1" applyAlignment="1">
      <alignment horizontal="center" wrapText="1"/>
    </xf>
    <xf numFmtId="0" fontId="12" fillId="4" borderId="1" xfId="0" applyFont="1" applyFill="1" applyBorder="1" applyAlignment="1">
      <alignment horizontal="center" wrapText="1"/>
    </xf>
    <xf numFmtId="0" fontId="12" fillId="6" borderId="0" xfId="0" applyFont="1" applyFill="1" applyAlignment="1">
      <alignment horizontal="center" vertical="center"/>
    </xf>
    <xf numFmtId="171" fontId="3" fillId="4" borderId="14" xfId="0" applyNumberFormat="1" applyFont="1" applyFill="1" applyBorder="1" applyAlignment="1">
      <alignment horizontal="center"/>
    </xf>
    <xf numFmtId="0" fontId="3" fillId="4" borderId="15" xfId="0" applyFont="1" applyFill="1" applyBorder="1" applyAlignment="1">
      <alignment horizontal="center"/>
    </xf>
    <xf numFmtId="166" fontId="3" fillId="11" borderId="15" xfId="1" applyFont="1" applyFill="1" applyBorder="1" applyAlignment="1">
      <alignment horizontal="center"/>
    </xf>
    <xf numFmtId="0" fontId="3" fillId="11" borderId="15" xfId="0" applyFont="1" applyFill="1" applyBorder="1" applyAlignment="1">
      <alignment horizontal="center"/>
    </xf>
    <xf numFmtId="171" fontId="3" fillId="4" borderId="15" xfId="0" applyNumberFormat="1" applyFont="1" applyFill="1" applyBorder="1" applyAlignment="1">
      <alignment horizontal="center"/>
    </xf>
    <xf numFmtId="171" fontId="3" fillId="11" borderId="15" xfId="0" applyNumberFormat="1" applyFont="1" applyFill="1" applyBorder="1" applyAlignment="1">
      <alignment horizontal="center"/>
    </xf>
    <xf numFmtId="171" fontId="3" fillId="4" borderId="17" xfId="0" applyNumberFormat="1" applyFont="1" applyFill="1" applyBorder="1" applyAlignment="1">
      <alignment horizontal="center"/>
    </xf>
    <xf numFmtId="0" fontId="3" fillId="11" borderId="1" xfId="0" applyFont="1" applyFill="1" applyBorder="1" applyAlignment="1">
      <alignment horizontal="center"/>
    </xf>
    <xf numFmtId="171" fontId="3" fillId="11" borderId="1" xfId="0" applyNumberFormat="1" applyFont="1" applyFill="1" applyBorder="1" applyAlignment="1">
      <alignment horizontal="center"/>
    </xf>
    <xf numFmtId="0" fontId="13" fillId="3" borderId="1" xfId="0" applyFont="1" applyFill="1" applyBorder="1" applyAlignment="1">
      <alignment horizontal="center" vertical="center" wrapText="1"/>
    </xf>
    <xf numFmtId="1" fontId="13" fillId="3" borderId="1" xfId="0" applyNumberFormat="1" applyFont="1" applyFill="1" applyBorder="1" applyAlignment="1">
      <alignment horizontal="center" vertical="center" wrapText="1"/>
    </xf>
    <xf numFmtId="0" fontId="13" fillId="4" borderId="1" xfId="0" applyFont="1" applyFill="1" applyBorder="1" applyAlignment="1" applyProtection="1">
      <alignment horizontal="center" vertical="center" wrapText="1"/>
      <protection locked="0"/>
    </xf>
    <xf numFmtId="165" fontId="66" fillId="0" borderId="0" xfId="0" applyNumberFormat="1" applyFont="1" applyAlignment="1">
      <alignment vertical="center"/>
    </xf>
    <xf numFmtId="166" fontId="87" fillId="2" borderId="0" xfId="4" applyFont="1" applyFill="1"/>
    <xf numFmtId="0" fontId="25" fillId="3" borderId="0" xfId="0" applyFont="1" applyFill="1" applyAlignment="1">
      <alignment horizontal="center" vertical="top" wrapText="1"/>
    </xf>
    <xf numFmtId="0" fontId="16" fillId="3" borderId="0" xfId="0" applyFont="1" applyFill="1" applyAlignment="1">
      <alignment vertical="top" wrapText="1"/>
    </xf>
    <xf numFmtId="0" fontId="24" fillId="3" borderId="0" xfId="0" applyFont="1" applyFill="1" applyAlignment="1">
      <alignment vertical="top" wrapText="1"/>
    </xf>
    <xf numFmtId="0" fontId="88" fillId="3" borderId="0" xfId="0" applyFont="1" applyFill="1" applyAlignment="1">
      <alignment vertical="top" wrapText="1"/>
    </xf>
    <xf numFmtId="0" fontId="16" fillId="3" borderId="0" xfId="0" applyFont="1" applyFill="1" applyAlignment="1">
      <alignment horizontal="center" vertical="top" wrapText="1"/>
    </xf>
    <xf numFmtId="0" fontId="41" fillId="3" borderId="0" xfId="0" applyFont="1" applyFill="1" applyAlignment="1">
      <alignment vertical="top" wrapText="1"/>
    </xf>
    <xf numFmtId="0" fontId="40" fillId="3" borderId="0" xfId="0" applyFont="1" applyFill="1" applyAlignment="1">
      <alignment vertical="top" wrapText="1"/>
    </xf>
    <xf numFmtId="0" fontId="40" fillId="3" borderId="0" xfId="0" applyFont="1" applyFill="1" applyAlignment="1">
      <alignment horizontal="center" vertical="top" wrapText="1"/>
    </xf>
    <xf numFmtId="0" fontId="25" fillId="2" borderId="1" xfId="0" applyFont="1" applyFill="1" applyBorder="1"/>
    <xf numFmtId="169" fontId="25" fillId="2" borderId="1" xfId="0" applyNumberFormat="1" applyFont="1" applyFill="1" applyBorder="1"/>
    <xf numFmtId="0" fontId="14" fillId="2" borderId="1" xfId="0" applyFont="1" applyFill="1" applyBorder="1" applyAlignment="1">
      <alignment vertical="center"/>
    </xf>
    <xf numFmtId="169" fontId="9" fillId="2" borderId="0" xfId="3" applyNumberFormat="1" applyFont="1" applyFill="1" applyAlignment="1">
      <alignment horizontal="center" vertical="center"/>
    </xf>
    <xf numFmtId="169" fontId="9" fillId="2" borderId="0" xfId="3" applyNumberFormat="1" applyFont="1" applyFill="1" applyAlignment="1">
      <alignment vertical="center"/>
    </xf>
    <xf numFmtId="0" fontId="89" fillId="4" borderId="1" xfId="0" applyFont="1" applyFill="1" applyBorder="1"/>
    <xf numFmtId="169" fontId="24" fillId="4" borderId="1" xfId="3" applyNumberFormat="1" applyFont="1" applyFill="1" applyBorder="1" applyAlignment="1">
      <alignment horizontal="center" vertical="center"/>
    </xf>
    <xf numFmtId="169" fontId="19" fillId="4" borderId="1" xfId="3" applyNumberFormat="1" applyFont="1" applyFill="1" applyBorder="1" applyAlignment="1">
      <alignment horizontal="center" vertical="center"/>
    </xf>
    <xf numFmtId="169" fontId="21" fillId="4" borderId="1" xfId="3" applyNumberFormat="1" applyFont="1" applyFill="1" applyBorder="1" applyAlignment="1">
      <alignment vertical="center"/>
    </xf>
    <xf numFmtId="166" fontId="19" fillId="5" borderId="1" xfId="4" applyFont="1" applyFill="1" applyBorder="1" applyAlignment="1">
      <alignment horizontal="center" vertical="top" wrapText="1"/>
    </xf>
    <xf numFmtId="0" fontId="19" fillId="3" borderId="1" xfId="3" applyFont="1" applyFill="1" applyBorder="1" applyAlignment="1">
      <alignment horizontal="center" vertical="center" wrapText="1"/>
    </xf>
    <xf numFmtId="0" fontId="24" fillId="4" borderId="1" xfId="0" applyFont="1" applyFill="1" applyBorder="1" applyAlignment="1">
      <alignment horizontal="center" wrapText="1"/>
    </xf>
    <xf numFmtId="0" fontId="24" fillId="2" borderId="1" xfId="0" applyFont="1" applyFill="1" applyBorder="1" applyAlignment="1">
      <alignment horizontal="center" wrapText="1"/>
    </xf>
    <xf numFmtId="0" fontId="24" fillId="2" borderId="7" xfId="0" applyFont="1" applyFill="1" applyBorder="1" applyAlignment="1">
      <alignment horizontal="center" wrapText="1"/>
    </xf>
    <xf numFmtId="0" fontId="7" fillId="2" borderId="1" xfId="0" applyFont="1" applyFill="1" applyBorder="1" applyAlignment="1">
      <alignment vertical="center" wrapText="1"/>
    </xf>
    <xf numFmtId="1" fontId="13" fillId="2" borderId="1" xfId="0" applyNumberFormat="1" applyFont="1" applyFill="1" applyBorder="1" applyAlignment="1">
      <alignment vertical="center" wrapText="1"/>
    </xf>
    <xf numFmtId="0" fontId="7" fillId="2" borderId="1" xfId="0" applyFont="1" applyFill="1" applyBorder="1" applyAlignment="1">
      <alignment horizontal="center" vertical="center" wrapText="1"/>
    </xf>
    <xf numFmtId="0" fontId="24" fillId="2" borderId="1" xfId="0" applyFont="1" applyFill="1" applyBorder="1" applyAlignment="1">
      <alignment horizontal="center" vertical="center" wrapText="1"/>
    </xf>
    <xf numFmtId="0" fontId="24" fillId="2" borderId="1" xfId="0" applyFont="1" applyFill="1" applyBorder="1" applyAlignment="1">
      <alignment horizontal="center" vertical="center"/>
    </xf>
    <xf numFmtId="1" fontId="24" fillId="2" borderId="1" xfId="0" applyNumberFormat="1" applyFont="1" applyFill="1" applyBorder="1" applyAlignment="1">
      <alignment horizontal="center" vertical="center" wrapText="1"/>
    </xf>
    <xf numFmtId="0" fontId="7" fillId="2" borderId="1" xfId="0" applyFont="1" applyFill="1" applyBorder="1" applyAlignment="1">
      <alignment horizontal="center" vertical="center"/>
    </xf>
    <xf numFmtId="166" fontId="13" fillId="5" borderId="1" xfId="4" applyFont="1" applyFill="1" applyBorder="1" applyAlignment="1">
      <alignment horizontal="center" vertical="top" wrapText="1"/>
    </xf>
    <xf numFmtId="0" fontId="14" fillId="5" borderId="0" xfId="0" applyFont="1" applyFill="1" applyAlignment="1">
      <alignment vertical="top" wrapText="1"/>
    </xf>
    <xf numFmtId="0" fontId="7" fillId="5" borderId="0" xfId="0" applyFont="1" applyFill="1" applyAlignment="1">
      <alignment vertical="top" wrapText="1"/>
    </xf>
    <xf numFmtId="0" fontId="19" fillId="4" borderId="1" xfId="3" applyFont="1" applyFill="1" applyBorder="1" applyAlignment="1" applyProtection="1">
      <alignment horizontal="center" vertical="center" wrapText="1"/>
      <protection locked="0"/>
    </xf>
    <xf numFmtId="9" fontId="3" fillId="3" borderId="0" xfId="0" applyNumberFormat="1" applyFont="1" applyFill="1" applyAlignment="1">
      <alignment horizontal="center"/>
    </xf>
    <xf numFmtId="165" fontId="3" fillId="3" borderId="0" xfId="0" applyNumberFormat="1" applyFont="1" applyFill="1" applyAlignment="1">
      <alignment horizontal="center"/>
    </xf>
    <xf numFmtId="171" fontId="3" fillId="3" borderId="0" xfId="1" applyNumberFormat="1" applyFont="1" applyFill="1" applyAlignment="1">
      <alignment horizontal="center"/>
    </xf>
    <xf numFmtId="166" fontId="5" fillId="2" borderId="0" xfId="1" applyFont="1" applyFill="1" applyAlignment="1">
      <alignment horizontal="right" vertical="top" wrapText="1"/>
    </xf>
    <xf numFmtId="166" fontId="90" fillId="2" borderId="0" xfId="1" applyFont="1" applyFill="1" applyAlignment="1">
      <alignment horizontal="right" vertical="top" wrapText="1"/>
    </xf>
    <xf numFmtId="166" fontId="90" fillId="2" borderId="1" xfId="1" applyFont="1" applyFill="1" applyBorder="1" applyAlignment="1">
      <alignment horizontal="center"/>
    </xf>
    <xf numFmtId="166" fontId="6" fillId="2" borderId="0" xfId="1" applyFont="1" applyFill="1" applyAlignment="1">
      <alignment horizontal="right" vertical="top" wrapText="1"/>
    </xf>
    <xf numFmtId="17" fontId="3" fillId="3" borderId="0" xfId="0" applyNumberFormat="1" applyFont="1" applyFill="1"/>
    <xf numFmtId="166" fontId="91" fillId="2" borderId="0" xfId="1" applyFont="1" applyFill="1"/>
    <xf numFmtId="0" fontId="16" fillId="2" borderId="1" xfId="0" applyFont="1" applyFill="1" applyBorder="1" applyAlignment="1">
      <alignment horizontal="center" wrapText="1"/>
    </xf>
    <xf numFmtId="0" fontId="16" fillId="2" borderId="7" xfId="0" applyFont="1" applyFill="1" applyBorder="1" applyAlignment="1">
      <alignment horizontal="center" wrapText="1"/>
    </xf>
    <xf numFmtId="168" fontId="13" fillId="4" borderId="1" xfId="0" applyNumberFormat="1" applyFont="1" applyFill="1" applyBorder="1" applyAlignment="1">
      <alignment horizontal="center" vertical="center" wrapText="1"/>
    </xf>
    <xf numFmtId="0" fontId="16" fillId="2" borderId="1" xfId="0" applyFont="1" applyFill="1" applyBorder="1" applyAlignment="1">
      <alignment horizontal="center" vertical="center" wrapText="1"/>
    </xf>
    <xf numFmtId="0" fontId="16" fillId="2" borderId="1" xfId="0" applyFont="1" applyFill="1" applyBorder="1" applyAlignment="1">
      <alignment horizontal="center" vertical="center"/>
    </xf>
    <xf numFmtId="0" fontId="24" fillId="8" borderId="0" xfId="0" applyFont="1" applyFill="1" applyAlignment="1">
      <alignment horizontal="center" vertical="center"/>
    </xf>
    <xf numFmtId="0" fontId="9" fillId="8" borderId="0" xfId="0" applyFont="1" applyFill="1" applyAlignment="1">
      <alignment horizontal="center" vertical="center" wrapText="1"/>
    </xf>
    <xf numFmtId="166" fontId="92" fillId="2" borderId="0" xfId="1" applyFont="1" applyFill="1"/>
    <xf numFmtId="166" fontId="3" fillId="2" borderId="0" xfId="4" applyFont="1" applyFill="1"/>
    <xf numFmtId="166" fontId="49" fillId="2" borderId="0" xfId="4" applyFont="1" applyFill="1"/>
    <xf numFmtId="166" fontId="6" fillId="2" borderId="1" xfId="1" applyFont="1" applyFill="1" applyBorder="1" applyAlignment="1">
      <alignment horizontal="center"/>
    </xf>
    <xf numFmtId="17" fontId="6" fillId="2" borderId="0" xfId="1" applyNumberFormat="1" applyFont="1" applyFill="1"/>
    <xf numFmtId="166" fontId="6" fillId="2" borderId="0" xfId="1" applyFont="1" applyFill="1" applyAlignment="1">
      <alignment horizontal="left" vertical="top" wrapText="1"/>
    </xf>
    <xf numFmtId="166" fontId="6" fillId="2" borderId="0" xfId="1" applyFont="1" applyFill="1" applyAlignment="1">
      <alignment vertical="top" wrapText="1"/>
    </xf>
    <xf numFmtId="166" fontId="36" fillId="2" borderId="0" xfId="1" applyFont="1" applyFill="1" applyAlignment="1">
      <alignment horizontal="center" vertical="top" wrapText="1"/>
    </xf>
    <xf numFmtId="166" fontId="36" fillId="2" borderId="0" xfId="1" applyFont="1" applyFill="1" applyAlignment="1">
      <alignment vertical="top" wrapText="1"/>
    </xf>
    <xf numFmtId="168" fontId="1" fillId="2" borderId="0" xfId="0" applyNumberFormat="1" applyFont="1" applyFill="1"/>
    <xf numFmtId="166" fontId="49" fillId="2" borderId="0" xfId="1" applyFont="1" applyFill="1" applyAlignment="1">
      <alignment vertical="top" wrapText="1"/>
    </xf>
    <xf numFmtId="166" fontId="19" fillId="2" borderId="0" xfId="1" applyFont="1" applyFill="1"/>
    <xf numFmtId="166" fontId="6" fillId="2" borderId="0" xfId="1" applyFont="1" applyFill="1"/>
    <xf numFmtId="0" fontId="39" fillId="4" borderId="1" xfId="3" applyFont="1" applyFill="1" applyBorder="1" applyAlignment="1">
      <alignment vertical="center" wrapText="1"/>
    </xf>
    <xf numFmtId="0" fontId="39" fillId="4" borderId="1" xfId="3" applyFont="1" applyFill="1" applyBorder="1" applyAlignment="1" applyProtection="1">
      <alignment vertical="center" wrapText="1"/>
      <protection locked="0"/>
    </xf>
    <xf numFmtId="0" fontId="93" fillId="4" borderId="1" xfId="3" applyFont="1" applyFill="1" applyBorder="1" applyAlignment="1" applyProtection="1">
      <alignment vertical="center" wrapText="1"/>
      <protection locked="0"/>
    </xf>
    <xf numFmtId="0" fontId="14" fillId="16" borderId="0" xfId="0" applyFont="1" applyFill="1" applyAlignment="1">
      <alignment vertical="top" wrapText="1"/>
    </xf>
    <xf numFmtId="169" fontId="19" fillId="3" borderId="1" xfId="3" applyNumberFormat="1" applyFont="1" applyFill="1" applyBorder="1" applyAlignment="1">
      <alignment horizontal="center" vertical="center"/>
    </xf>
    <xf numFmtId="166" fontId="76" fillId="2" borderId="0" xfId="1" applyFont="1" applyFill="1" applyAlignment="1">
      <alignment horizontal="center" vertical="center" wrapText="1"/>
    </xf>
    <xf numFmtId="0" fontId="66" fillId="2" borderId="0" xfId="0" applyFont="1" applyFill="1" applyAlignment="1">
      <alignment vertical="center"/>
    </xf>
    <xf numFmtId="0" fontId="43" fillId="3" borderId="0" xfId="0" applyFont="1" applyFill="1"/>
    <xf numFmtId="169" fontId="3" fillId="3" borderId="0" xfId="0" applyNumberFormat="1" applyFont="1" applyFill="1"/>
    <xf numFmtId="17" fontId="3" fillId="17" borderId="0" xfId="0" applyNumberFormat="1" applyFont="1" applyFill="1" applyAlignment="1">
      <alignment horizontal="right" vertical="top"/>
    </xf>
    <xf numFmtId="9" fontId="94" fillId="2" borderId="1" xfId="1" applyNumberFormat="1" applyFont="1" applyFill="1" applyBorder="1" applyAlignment="1">
      <alignment horizontal="center"/>
    </xf>
    <xf numFmtId="166" fontId="94" fillId="2" borderId="1" xfId="1" applyFont="1" applyFill="1" applyBorder="1" applyAlignment="1">
      <alignment horizontal="center"/>
    </xf>
    <xf numFmtId="166" fontId="13" fillId="3" borderId="0" xfId="4" applyFont="1" applyFill="1" applyAlignment="1">
      <alignment horizontal="center" vertical="top" wrapText="1"/>
    </xf>
    <xf numFmtId="0" fontId="95" fillId="0" borderId="0" xfId="0" applyFont="1" applyAlignment="1">
      <alignment horizontal="left"/>
    </xf>
    <xf numFmtId="9" fontId="95" fillId="0" borderId="0" xfId="0" applyNumberFormat="1" applyFont="1"/>
    <xf numFmtId="0" fontId="39" fillId="3" borderId="0" xfId="0" applyFont="1" applyFill="1" applyAlignment="1">
      <alignment vertical="top" wrapText="1"/>
    </xf>
    <xf numFmtId="166" fontId="5" fillId="2" borderId="0" xfId="1" applyFont="1" applyFill="1" applyAlignment="1">
      <alignment horizontal="center"/>
    </xf>
    <xf numFmtId="0" fontId="24" fillId="13" borderId="0" xfId="0" applyFont="1" applyFill="1" applyAlignment="1">
      <alignment vertical="top" wrapText="1"/>
    </xf>
    <xf numFmtId="166" fontId="4" fillId="0" borderId="0" xfId="1" applyFont="1"/>
    <xf numFmtId="0" fontId="51" fillId="0" borderId="0" xfId="1" applyNumberFormat="1" applyFont="1" applyAlignment="1">
      <alignment horizontal="left" vertical="center"/>
    </xf>
    <xf numFmtId="166" fontId="5" fillId="19" borderId="0" xfId="1" applyFont="1" applyFill="1" applyAlignment="1">
      <alignment horizontal="left" vertical="center"/>
    </xf>
    <xf numFmtId="166" fontId="4" fillId="19" borderId="0" xfId="1" applyFont="1" applyFill="1" applyAlignment="1">
      <alignment horizontal="left" vertical="center"/>
    </xf>
    <xf numFmtId="166" fontId="4" fillId="19" borderId="0" xfId="1" applyFont="1" applyFill="1"/>
    <xf numFmtId="171" fontId="0" fillId="19" borderId="1" xfId="0" applyNumberFormat="1" applyFill="1" applyBorder="1"/>
    <xf numFmtId="0" fontId="7" fillId="18" borderId="0" xfId="0" applyFont="1" applyFill="1" applyAlignment="1">
      <alignment vertical="top" wrapText="1"/>
    </xf>
    <xf numFmtId="172" fontId="65" fillId="18" borderId="1" xfId="0" applyNumberFormat="1" applyFont="1" applyFill="1" applyBorder="1" applyAlignment="1">
      <alignment horizontal="center" vertical="center" wrapText="1"/>
    </xf>
    <xf numFmtId="168" fontId="72" fillId="20" borderId="1" xfId="0" applyNumberFormat="1" applyFont="1" applyFill="1" applyBorder="1" applyAlignment="1">
      <alignment horizontal="center" vertical="center"/>
    </xf>
    <xf numFmtId="168" fontId="16" fillId="20" borderId="1" xfId="0" applyNumberFormat="1" applyFont="1" applyFill="1" applyBorder="1" applyAlignment="1">
      <alignment horizontal="center" vertical="center"/>
    </xf>
    <xf numFmtId="0" fontId="25" fillId="2" borderId="0" xfId="3" applyFont="1" applyFill="1" applyAlignment="1">
      <alignment vertical="center"/>
    </xf>
    <xf numFmtId="168" fontId="24" fillId="20" borderId="1" xfId="0" applyNumberFormat="1" applyFont="1" applyFill="1" applyBorder="1" applyAlignment="1">
      <alignment horizontal="center" vertical="center"/>
    </xf>
    <xf numFmtId="168" fontId="16" fillId="0" borderId="1" xfId="0" applyNumberFormat="1" applyFont="1" applyBorder="1" applyAlignment="1">
      <alignment horizontal="center" vertical="center"/>
    </xf>
    <xf numFmtId="168" fontId="72" fillId="0" borderId="1" xfId="0" applyNumberFormat="1" applyFont="1" applyBorder="1" applyAlignment="1">
      <alignment horizontal="center" vertical="center"/>
    </xf>
    <xf numFmtId="0" fontId="75" fillId="18" borderId="1" xfId="0" applyFont="1" applyFill="1" applyBorder="1" applyAlignment="1">
      <alignment horizontal="center" vertical="center" wrapText="1"/>
    </xf>
    <xf numFmtId="0" fontId="65" fillId="18" borderId="1" xfId="0" applyFont="1" applyFill="1" applyBorder="1" applyAlignment="1">
      <alignment vertical="center" wrapText="1"/>
    </xf>
    <xf numFmtId="0" fontId="14" fillId="18" borderId="0" xfId="0" applyFont="1" applyFill="1" applyAlignment="1">
      <alignment vertical="top" wrapText="1"/>
    </xf>
    <xf numFmtId="166" fontId="5" fillId="21" borderId="0" xfId="1" applyFont="1" applyFill="1" applyAlignment="1">
      <alignment horizontal="left" vertical="center"/>
    </xf>
    <xf numFmtId="166" fontId="4" fillId="21" borderId="0" xfId="1" applyFont="1" applyFill="1" applyAlignment="1">
      <alignment horizontal="left" vertical="center"/>
    </xf>
    <xf numFmtId="166" fontId="4" fillId="21" borderId="0" xfId="1" applyFont="1" applyFill="1"/>
    <xf numFmtId="171" fontId="0" fillId="21" borderId="0" xfId="0" applyNumberFormat="1" applyFill="1"/>
    <xf numFmtId="1" fontId="65" fillId="23" borderId="1" xfId="0" applyNumberFormat="1" applyFont="1" applyFill="1" applyBorder="1" applyAlignment="1">
      <alignment horizontal="center" vertical="center" wrapText="1"/>
    </xf>
    <xf numFmtId="172" fontId="65" fillId="24" borderId="1" xfId="0" applyNumberFormat="1" applyFont="1" applyFill="1" applyBorder="1" applyAlignment="1" applyProtection="1">
      <alignment horizontal="center" vertical="center" wrapText="1"/>
      <protection locked="0"/>
    </xf>
    <xf numFmtId="1" fontId="65" fillId="22" borderId="1" xfId="0" applyNumberFormat="1" applyFont="1" applyFill="1" applyBorder="1" applyAlignment="1" applyProtection="1">
      <alignment horizontal="center" vertical="center" wrapText="1"/>
      <protection locked="0"/>
    </xf>
    <xf numFmtId="0" fontId="66" fillId="3" borderId="1" xfId="0" applyFont="1" applyFill="1" applyBorder="1" applyAlignment="1">
      <alignment horizontal="center" vertical="center"/>
    </xf>
    <xf numFmtId="10" fontId="8" fillId="20" borderId="0" xfId="0" applyNumberFormat="1" applyFont="1" applyFill="1" applyAlignment="1">
      <alignment horizontal="center" vertical="center"/>
    </xf>
    <xf numFmtId="10" fontId="71" fillId="20" borderId="0" xfId="0" applyNumberFormat="1" applyFont="1" applyFill="1" applyAlignment="1">
      <alignment horizontal="center" vertical="center"/>
    </xf>
    <xf numFmtId="10" fontId="71" fillId="6" borderId="0" xfId="0" applyNumberFormat="1" applyFont="1" applyFill="1" applyAlignment="1">
      <alignment horizontal="center" vertical="center"/>
    </xf>
    <xf numFmtId="10" fontId="8" fillId="6" borderId="0" xfId="0" applyNumberFormat="1" applyFont="1" applyFill="1" applyAlignment="1">
      <alignment horizontal="center" vertical="center"/>
    </xf>
    <xf numFmtId="0" fontId="7" fillId="13" borderId="1" xfId="0" applyFont="1" applyFill="1" applyBorder="1" applyAlignment="1">
      <alignment horizontal="center" vertical="center"/>
    </xf>
    <xf numFmtId="164" fontId="7" fillId="13" borderId="1" xfId="0" applyNumberFormat="1" applyFont="1" applyFill="1" applyBorder="1" applyAlignment="1">
      <alignment horizontal="center" vertical="center"/>
    </xf>
    <xf numFmtId="166" fontId="14" fillId="0" borderId="0" xfId="0" applyNumberFormat="1" applyFont="1" applyAlignment="1">
      <alignment vertical="center"/>
    </xf>
    <xf numFmtId="10" fontId="14" fillId="0" borderId="0" xfId="0" applyNumberFormat="1" applyFont="1" applyAlignment="1">
      <alignment vertical="center"/>
    </xf>
    <xf numFmtId="17" fontId="98" fillId="3" borderId="0" xfId="0" applyNumberFormat="1" applyFont="1" applyFill="1" applyAlignment="1">
      <alignment horizontal="center" vertical="center"/>
    </xf>
    <xf numFmtId="17" fontId="32" fillId="25" borderId="0" xfId="1" applyNumberFormat="1" applyFont="1" applyFill="1"/>
    <xf numFmtId="0" fontId="65" fillId="13" borderId="0" xfId="0" applyFont="1" applyFill="1" applyAlignment="1">
      <alignment vertical="center" wrapText="1"/>
    </xf>
    <xf numFmtId="0" fontId="14" fillId="13" borderId="0" xfId="0" applyFont="1" applyFill="1" applyAlignment="1">
      <alignment vertical="top" wrapText="1"/>
    </xf>
    <xf numFmtId="1" fontId="75" fillId="13" borderId="1" xfId="0" applyNumberFormat="1" applyFont="1" applyFill="1" applyBorder="1" applyAlignment="1">
      <alignment horizontal="center" vertical="center" wrapText="1"/>
    </xf>
    <xf numFmtId="0" fontId="72" fillId="13" borderId="1" xfId="0" applyFont="1" applyFill="1" applyBorder="1" applyAlignment="1">
      <alignment horizontal="center" vertical="center" wrapText="1"/>
    </xf>
    <xf numFmtId="0" fontId="75" fillId="13" borderId="2" xfId="0" applyFont="1" applyFill="1" applyBorder="1" applyAlignment="1">
      <alignment horizontal="center" vertical="center" wrapText="1"/>
    </xf>
    <xf numFmtId="0" fontId="66" fillId="13" borderId="0" xfId="0" applyFont="1" applyFill="1" applyAlignment="1">
      <alignment vertical="center"/>
    </xf>
    <xf numFmtId="1" fontId="65" fillId="13" borderId="0" xfId="0" applyNumberFormat="1" applyFont="1" applyFill="1" applyAlignment="1">
      <alignment horizontal="center" vertical="center" wrapText="1"/>
    </xf>
    <xf numFmtId="1" fontId="77" fillId="13" borderId="0" xfId="0" applyNumberFormat="1" applyFont="1" applyFill="1" applyAlignment="1">
      <alignment horizontal="center" vertical="center" wrapText="1"/>
    </xf>
    <xf numFmtId="166" fontId="76" fillId="13" borderId="0" xfId="4" applyFont="1" applyFill="1" applyAlignment="1">
      <alignment horizontal="center" vertical="top" wrapText="1"/>
    </xf>
    <xf numFmtId="166" fontId="76" fillId="13" borderId="0" xfId="1" applyFont="1" applyFill="1" applyAlignment="1">
      <alignment horizontal="center" vertical="center" wrapText="1"/>
    </xf>
    <xf numFmtId="9" fontId="75" fillId="13" borderId="1" xfId="0" applyNumberFormat="1" applyFont="1" applyFill="1" applyBorder="1" applyAlignment="1">
      <alignment horizontal="center" vertical="center" wrapText="1"/>
    </xf>
    <xf numFmtId="166" fontId="65" fillId="13" borderId="0" xfId="1" applyFont="1" applyFill="1" applyAlignment="1">
      <alignment horizontal="center" vertical="center" wrapText="1"/>
    </xf>
    <xf numFmtId="166" fontId="76" fillId="13" borderId="0" xfId="0" applyNumberFormat="1" applyFont="1" applyFill="1" applyAlignment="1">
      <alignment horizontal="center" vertical="center"/>
    </xf>
    <xf numFmtId="0" fontId="14" fillId="13" borderId="0" xfId="0" applyFont="1" applyFill="1" applyAlignment="1">
      <alignment vertical="center"/>
    </xf>
    <xf numFmtId="0" fontId="25" fillId="13" borderId="0" xfId="0" applyFont="1" applyFill="1" applyAlignment="1">
      <alignment vertical="top" wrapText="1"/>
    </xf>
    <xf numFmtId="1" fontId="13" fillId="13" borderId="1" xfId="0" applyNumberFormat="1" applyFont="1" applyFill="1" applyBorder="1" applyAlignment="1">
      <alignment horizontal="center" vertical="center" wrapText="1"/>
    </xf>
    <xf numFmtId="166" fontId="17" fillId="13" borderId="0" xfId="4" applyFont="1" applyFill="1" applyAlignment="1">
      <alignment horizontal="center" vertical="top" wrapText="1"/>
    </xf>
    <xf numFmtId="166" fontId="17" fillId="13" borderId="0" xfId="1" applyFont="1" applyFill="1" applyAlignment="1">
      <alignment horizontal="center" vertical="center" wrapText="1"/>
    </xf>
    <xf numFmtId="166" fontId="7" fillId="13" borderId="0" xfId="1" applyFont="1" applyFill="1" applyAlignment="1">
      <alignment horizontal="center" vertical="center" wrapText="1"/>
    </xf>
    <xf numFmtId="166" fontId="17" fillId="13" borderId="0" xfId="0" applyNumberFormat="1" applyFont="1" applyFill="1" applyAlignment="1">
      <alignment horizontal="center" vertical="center"/>
    </xf>
    <xf numFmtId="0" fontId="13" fillId="13" borderId="1" xfId="0" applyFont="1" applyFill="1" applyBorder="1" applyAlignment="1">
      <alignment horizontal="center" vertical="top" wrapText="1"/>
    </xf>
    <xf numFmtId="0" fontId="19" fillId="13" borderId="0" xfId="0" applyFont="1" applyFill="1" applyAlignment="1">
      <alignment vertical="top" wrapText="1"/>
    </xf>
    <xf numFmtId="9" fontId="13" fillId="13" borderId="0" xfId="0" applyNumberFormat="1" applyFont="1" applyFill="1" applyAlignment="1">
      <alignment horizontal="center" vertical="top" wrapText="1"/>
    </xf>
    <xf numFmtId="166" fontId="7" fillId="13" borderId="0" xfId="1" applyFont="1" applyFill="1" applyAlignment="1">
      <alignment horizontal="center" vertical="top" wrapText="1"/>
    </xf>
    <xf numFmtId="166" fontId="17" fillId="13" borderId="0" xfId="3" applyNumberFormat="1" applyFont="1" applyFill="1" applyAlignment="1">
      <alignment horizontal="center" vertical="center" wrapText="1"/>
    </xf>
    <xf numFmtId="166" fontId="17" fillId="13" borderId="0" xfId="0" applyNumberFormat="1" applyFont="1" applyFill="1" applyAlignment="1">
      <alignment horizontal="center"/>
    </xf>
    <xf numFmtId="0" fontId="14" fillId="13" borderId="0" xfId="0" applyFont="1" applyFill="1"/>
    <xf numFmtId="0" fontId="14" fillId="13" borderId="0" xfId="3" applyFont="1" applyFill="1" applyAlignment="1">
      <alignment vertical="center" wrapText="1"/>
    </xf>
    <xf numFmtId="0" fontId="23" fillId="13" borderId="1" xfId="3" applyFont="1" applyFill="1" applyBorder="1" applyAlignment="1">
      <alignment horizontal="center" vertical="center" wrapText="1"/>
    </xf>
    <xf numFmtId="0" fontId="14" fillId="13" borderId="0" xfId="0" applyFont="1" applyFill="1" applyAlignment="1">
      <alignment vertical="center" wrapText="1"/>
    </xf>
    <xf numFmtId="169" fontId="10" fillId="13" borderId="0" xfId="3" applyNumberFormat="1" applyFont="1" applyFill="1" applyAlignment="1">
      <alignment vertical="center"/>
    </xf>
    <xf numFmtId="9" fontId="39" fillId="13" borderId="0" xfId="0" applyNumberFormat="1" applyFont="1" applyFill="1" applyAlignment="1">
      <alignment horizontal="center" vertical="center" wrapText="1"/>
    </xf>
    <xf numFmtId="0" fontId="10" fillId="13" borderId="1" xfId="3" applyFont="1" applyFill="1" applyBorder="1" applyAlignment="1">
      <alignment vertical="center"/>
    </xf>
    <xf numFmtId="0" fontId="10" fillId="13" borderId="1" xfId="3" applyFont="1" applyFill="1" applyBorder="1" applyAlignment="1">
      <alignment horizontal="center" vertical="center"/>
    </xf>
    <xf numFmtId="0" fontId="10" fillId="13" borderId="0" xfId="3" applyFont="1" applyFill="1" applyAlignment="1">
      <alignment vertical="center"/>
    </xf>
    <xf numFmtId="9" fontId="24" fillId="13" borderId="0" xfId="0" applyNumberFormat="1" applyFont="1" applyFill="1" applyAlignment="1">
      <alignment horizontal="center" vertical="center" wrapText="1"/>
    </xf>
    <xf numFmtId="166" fontId="7" fillId="13" borderId="0" xfId="3" applyNumberFormat="1" applyFont="1" applyFill="1" applyAlignment="1">
      <alignment horizontal="center" vertical="center"/>
    </xf>
    <xf numFmtId="0" fontId="96" fillId="13" borderId="0" xfId="3" applyFont="1" applyFill="1" applyAlignment="1">
      <alignment vertical="center"/>
    </xf>
    <xf numFmtId="169" fontId="96" fillId="13" borderId="0" xfId="3" applyNumberFormat="1" applyFont="1" applyFill="1" applyAlignment="1">
      <alignment vertical="center"/>
    </xf>
    <xf numFmtId="1" fontId="13" fillId="13" borderId="8" xfId="0" applyNumberFormat="1" applyFont="1" applyFill="1" applyBorder="1" applyAlignment="1">
      <alignment horizontal="center" vertical="center" wrapText="1"/>
    </xf>
    <xf numFmtId="1" fontId="16" fillId="13" borderId="1" xfId="0" applyNumberFormat="1" applyFont="1" applyFill="1" applyBorder="1" applyAlignment="1">
      <alignment horizontal="center" vertical="center" wrapText="1"/>
    </xf>
    <xf numFmtId="1" fontId="7" fillId="13" borderId="0" xfId="0" applyNumberFormat="1" applyFont="1" applyFill="1" applyAlignment="1">
      <alignment horizontal="center" vertical="center" wrapText="1"/>
    </xf>
    <xf numFmtId="9" fontId="13" fillId="13" borderId="1" xfId="0" applyNumberFormat="1" applyFont="1" applyFill="1" applyBorder="1" applyAlignment="1">
      <alignment horizontal="center" vertical="center" wrapText="1"/>
    </xf>
    <xf numFmtId="1" fontId="13" fillId="13" borderId="0" xfId="0" applyNumberFormat="1" applyFont="1" applyFill="1" applyAlignment="1">
      <alignment vertical="center" wrapText="1"/>
    </xf>
    <xf numFmtId="0" fontId="7" fillId="13" borderId="0" xfId="0" applyFont="1" applyFill="1" applyAlignment="1">
      <alignment vertical="center" wrapText="1"/>
    </xf>
    <xf numFmtId="166" fontId="13" fillId="13" borderId="0" xfId="4" applyFont="1" applyFill="1" applyAlignment="1">
      <alignment horizontal="center" vertical="top" wrapText="1"/>
    </xf>
    <xf numFmtId="1" fontId="12" fillId="6" borderId="0" xfId="0" applyNumberFormat="1" applyFont="1" applyFill="1" applyAlignment="1">
      <alignment horizontal="center" vertical="center"/>
    </xf>
    <xf numFmtId="166" fontId="6" fillId="0" borderId="1" xfId="1" applyFont="1" applyBorder="1" applyAlignment="1">
      <alignment horizontal="center"/>
    </xf>
    <xf numFmtId="166" fontId="6" fillId="2" borderId="1" xfId="0" applyNumberFormat="1" applyFont="1" applyFill="1" applyBorder="1" applyAlignment="1">
      <alignment horizontal="center"/>
    </xf>
    <xf numFmtId="0" fontId="3" fillId="18" borderId="0" xfId="0" applyFont="1" applyFill="1"/>
    <xf numFmtId="17" fontId="3" fillId="18" borderId="0" xfId="0" applyNumberFormat="1" applyFont="1" applyFill="1"/>
    <xf numFmtId="166" fontId="5" fillId="18" borderId="1" xfId="1" applyFont="1" applyFill="1" applyBorder="1" applyAlignment="1">
      <alignment horizontal="center"/>
    </xf>
    <xf numFmtId="166" fontId="99" fillId="3" borderId="1" xfId="0" applyNumberFormat="1" applyFont="1" applyFill="1" applyBorder="1" applyAlignment="1">
      <alignment horizontal="center"/>
    </xf>
    <xf numFmtId="166" fontId="61" fillId="18" borderId="23" xfId="1" applyFont="1" applyFill="1" applyBorder="1" applyAlignment="1">
      <alignment horizontal="left" vertical="center"/>
    </xf>
    <xf numFmtId="166" fontId="62" fillId="18" borderId="33" xfId="1" applyFill="1" applyBorder="1" applyAlignment="1">
      <alignment horizontal="left" vertical="center"/>
    </xf>
    <xf numFmtId="166" fontId="62" fillId="18" borderId="12" xfId="1" applyFill="1" applyBorder="1"/>
    <xf numFmtId="0" fontId="63" fillId="18" borderId="34" xfId="1" applyNumberFormat="1" applyFont="1" applyFill="1" applyBorder="1" applyAlignment="1">
      <alignment horizontal="left" vertical="center"/>
    </xf>
    <xf numFmtId="0" fontId="63" fillId="18" borderId="0" xfId="1" applyNumberFormat="1" applyFont="1" applyFill="1" applyAlignment="1">
      <alignment horizontal="left" vertical="center"/>
    </xf>
    <xf numFmtId="166" fontId="62" fillId="18" borderId="35" xfId="1" applyFill="1" applyBorder="1"/>
    <xf numFmtId="14" fontId="62" fillId="18" borderId="36" xfId="1" applyNumberFormat="1" applyFill="1" applyBorder="1" applyAlignment="1">
      <alignment horizontal="left" vertical="center"/>
    </xf>
    <xf numFmtId="9" fontId="62" fillId="18" borderId="37" xfId="1" applyNumberFormat="1" applyFill="1" applyBorder="1" applyAlignment="1">
      <alignment horizontal="left" vertical="center"/>
    </xf>
    <xf numFmtId="166" fontId="62" fillId="18" borderId="38" xfId="1" applyFill="1" applyBorder="1" applyAlignment="1">
      <alignment horizontal="left"/>
    </xf>
    <xf numFmtId="17" fontId="5" fillId="18" borderId="0" xfId="1" applyNumberFormat="1" applyFont="1" applyFill="1"/>
    <xf numFmtId="166" fontId="0" fillId="2" borderId="0" xfId="0" applyNumberFormat="1" applyFill="1" applyAlignment="1">
      <alignment horizontal="center"/>
    </xf>
    <xf numFmtId="166" fontId="52" fillId="2" borderId="0" xfId="1" applyFont="1" applyFill="1" applyAlignment="1">
      <alignment horizontal="left" vertical="top" wrapText="1"/>
    </xf>
    <xf numFmtId="166" fontId="43" fillId="2" borderId="0" xfId="1" applyFont="1" applyFill="1" applyAlignment="1">
      <alignment horizontal="left" vertical="top" wrapText="1"/>
    </xf>
    <xf numFmtId="17" fontId="32" fillId="26" borderId="0" xfId="2" applyNumberFormat="1" applyFont="1" applyFill="1" applyAlignment="1">
      <alignment horizontal="center"/>
    </xf>
    <xf numFmtId="17" fontId="31" fillId="26" borderId="0" xfId="1" applyNumberFormat="1" applyFont="1" applyFill="1"/>
    <xf numFmtId="17" fontId="32" fillId="26" borderId="0" xfId="1" applyNumberFormat="1" applyFont="1" applyFill="1"/>
    <xf numFmtId="166" fontId="48" fillId="2" borderId="0" xfId="1" applyFont="1" applyFill="1" applyAlignment="1">
      <alignment horizontal="center" vertical="center"/>
    </xf>
    <xf numFmtId="166" fontId="52" fillId="4" borderId="0" xfId="1" applyFont="1" applyFill="1" applyAlignment="1">
      <alignment horizontal="left"/>
    </xf>
    <xf numFmtId="166" fontId="54" fillId="4" borderId="0" xfId="1" applyFont="1" applyFill="1"/>
    <xf numFmtId="166" fontId="43" fillId="2" borderId="0" xfId="1" applyFont="1" applyFill="1" applyAlignment="1">
      <alignment vertical="top" wrapText="1"/>
    </xf>
    <xf numFmtId="9" fontId="3" fillId="2" borderId="0" xfId="1" applyNumberFormat="1" applyFont="1" applyFill="1" applyAlignment="1">
      <alignment horizontal="left" vertical="top"/>
    </xf>
    <xf numFmtId="14" fontId="5" fillId="2" borderId="8" xfId="1" applyNumberFormat="1" applyFont="1" applyFill="1" applyBorder="1" applyAlignment="1">
      <alignment horizontal="left" vertical="center"/>
    </xf>
    <xf numFmtId="17" fontId="5" fillId="27" borderId="0" xfId="1" applyNumberFormat="1" applyFont="1" applyFill="1"/>
    <xf numFmtId="0" fontId="7" fillId="18" borderId="1" xfId="0" applyFont="1" applyFill="1" applyBorder="1" applyAlignment="1">
      <alignment vertical="center" wrapText="1"/>
    </xf>
    <xf numFmtId="166" fontId="0" fillId="0" borderId="0" xfId="0" applyNumberFormat="1"/>
    <xf numFmtId="168" fontId="24" fillId="8" borderId="0" xfId="0" applyNumberFormat="1" applyFont="1" applyFill="1" applyAlignment="1">
      <alignment horizontal="left" vertical="center"/>
    </xf>
    <xf numFmtId="0" fontId="14" fillId="0" borderId="0" xfId="0" applyFont="1" applyAlignment="1">
      <alignment vertical="center"/>
    </xf>
    <xf numFmtId="1" fontId="24" fillId="8" borderId="0" xfId="0" applyNumberFormat="1" applyFont="1" applyFill="1" applyAlignment="1">
      <alignment horizontal="left" vertical="center"/>
    </xf>
    <xf numFmtId="1" fontId="14" fillId="0" borderId="0" xfId="0" applyNumberFormat="1" applyFont="1" applyAlignment="1">
      <alignment horizontal="center" vertical="center"/>
    </xf>
    <xf numFmtId="166" fontId="14" fillId="0" borderId="0" xfId="0" applyNumberFormat="1" applyFont="1" applyAlignment="1">
      <alignment horizontal="center" vertical="center"/>
    </xf>
    <xf numFmtId="0" fontId="24" fillId="8" borderId="0" xfId="0" applyFont="1" applyFill="1" applyAlignment="1">
      <alignment horizontal="left" vertical="center"/>
    </xf>
    <xf numFmtId="170" fontId="24" fillId="8" borderId="0" xfId="0" applyNumberFormat="1" applyFont="1" applyFill="1" applyAlignment="1">
      <alignment horizontal="left" vertical="center"/>
    </xf>
    <xf numFmtId="164" fontId="81" fillId="13" borderId="0" xfId="0" applyNumberFormat="1" applyFont="1" applyFill="1" applyAlignment="1">
      <alignment horizontal="center" vertical="center"/>
    </xf>
    <xf numFmtId="0" fontId="66" fillId="0" borderId="0" xfId="0" applyFont="1" applyAlignment="1">
      <alignment vertical="center"/>
    </xf>
    <xf numFmtId="1" fontId="75" fillId="3" borderId="0" xfId="0" applyNumberFormat="1" applyFont="1" applyFill="1" applyAlignment="1">
      <alignment horizontal="center" vertical="center" wrapText="1"/>
    </xf>
    <xf numFmtId="1" fontId="66" fillId="0" borderId="0" xfId="0" applyNumberFormat="1" applyFont="1" applyAlignment="1">
      <alignment horizontal="center" vertical="center"/>
    </xf>
    <xf numFmtId="0" fontId="67" fillId="7" borderId="0" xfId="0" applyFont="1" applyFill="1" applyAlignment="1">
      <alignment horizontal="left"/>
    </xf>
    <xf numFmtId="166" fontId="66" fillId="0" borderId="0" xfId="0" applyNumberFormat="1" applyFont="1" applyAlignment="1">
      <alignment horizontal="center" vertical="center"/>
    </xf>
    <xf numFmtId="0" fontId="66" fillId="0" borderId="0" xfId="0" applyFont="1" applyAlignment="1">
      <alignment horizontal="center" vertical="center"/>
    </xf>
    <xf numFmtId="167" fontId="66" fillId="0" borderId="0" xfId="0" applyNumberFormat="1" applyFont="1" applyAlignment="1">
      <alignment horizontal="center" vertical="center"/>
    </xf>
    <xf numFmtId="166" fontId="65" fillId="0" borderId="0" xfId="0" applyNumberFormat="1" applyFont="1" applyAlignment="1">
      <alignment horizontal="center" vertical="center"/>
    </xf>
    <xf numFmtId="2" fontId="75" fillId="3" borderId="0" xfId="0" applyNumberFormat="1" applyFont="1" applyFill="1" applyAlignment="1">
      <alignment horizontal="center" vertical="center" wrapText="1"/>
    </xf>
    <xf numFmtId="0" fontId="7" fillId="3" borderId="2" xfId="0" applyFont="1" applyFill="1" applyBorder="1" applyAlignment="1">
      <alignment vertical="center" wrapText="1"/>
    </xf>
    <xf numFmtId="0" fontId="19" fillId="3" borderId="2" xfId="0" applyFont="1" applyFill="1" applyBorder="1" applyAlignment="1">
      <alignment horizontal="left" vertical="top" wrapText="1"/>
    </xf>
    <xf numFmtId="0" fontId="7" fillId="3" borderId="2" xfId="0" applyFont="1" applyFill="1" applyBorder="1" applyAlignment="1">
      <alignment horizontal="left" vertical="center" wrapText="1"/>
    </xf>
    <xf numFmtId="0" fontId="15" fillId="3" borderId="0" xfId="0" applyFont="1" applyFill="1" applyAlignment="1">
      <alignment horizontal="center" vertical="center"/>
    </xf>
    <xf numFmtId="0" fontId="15" fillId="2" borderId="0" xfId="0" applyFont="1" applyFill="1" applyAlignment="1">
      <alignment horizontal="center" vertical="center"/>
    </xf>
    <xf numFmtId="0" fontId="65" fillId="0" borderId="0" xfId="0" applyFont="1" applyAlignment="1">
      <alignment vertical="center"/>
    </xf>
    <xf numFmtId="0" fontId="65" fillId="3" borderId="2" xfId="0" applyFont="1" applyFill="1" applyBorder="1" applyAlignment="1">
      <alignment vertical="center" wrapText="1"/>
    </xf>
    <xf numFmtId="0" fontId="8" fillId="3" borderId="0" xfId="0" applyFont="1" applyFill="1" applyAlignment="1">
      <alignment horizontal="center" vertical="center" wrapText="1"/>
    </xf>
    <xf numFmtId="0" fontId="39" fillId="19" borderId="2" xfId="0" applyFont="1" applyFill="1" applyBorder="1" applyAlignment="1">
      <alignment vertical="center" wrapText="1"/>
    </xf>
    <xf numFmtId="0" fontId="19" fillId="3" borderId="2" xfId="0" applyFont="1" applyFill="1" applyBorder="1" applyAlignment="1">
      <alignment vertical="top" wrapText="1"/>
    </xf>
    <xf numFmtId="0" fontId="19" fillId="7" borderId="0" xfId="0" applyFont="1" applyFill="1"/>
    <xf numFmtId="0" fontId="7" fillId="3" borderId="2" xfId="0" applyFont="1" applyFill="1" applyBorder="1" applyAlignment="1">
      <alignment vertical="top" wrapText="1"/>
    </xf>
    <xf numFmtId="0" fontId="65" fillId="13" borderId="2" xfId="0" applyFont="1" applyFill="1" applyBorder="1" applyAlignment="1">
      <alignment vertical="center" wrapText="1"/>
    </xf>
    <xf numFmtId="0" fontId="19" fillId="7" borderId="0" xfId="0" applyFont="1" applyFill="1" applyAlignment="1">
      <alignment horizontal="left"/>
    </xf>
    <xf numFmtId="166" fontId="8" fillId="20" borderId="0" xfId="0" applyNumberFormat="1" applyFont="1" applyFill="1" applyAlignment="1">
      <alignment horizontal="center" vertical="center"/>
    </xf>
    <xf numFmtId="0" fontId="7" fillId="2" borderId="0" xfId="0" applyFont="1" applyFill="1" applyAlignment="1">
      <alignment horizontal="center" vertical="center"/>
    </xf>
    <xf numFmtId="0" fontId="71" fillId="6" borderId="0" xfId="0" applyFont="1" applyFill="1" applyAlignment="1">
      <alignment vertical="center" wrapText="1"/>
    </xf>
    <xf numFmtId="0" fontId="39" fillId="3" borderId="2" xfId="0" applyFont="1" applyFill="1" applyBorder="1" applyAlignment="1">
      <alignment horizontal="left" vertical="top" wrapText="1"/>
    </xf>
    <xf numFmtId="0" fontId="7" fillId="18" borderId="2" xfId="0" applyFont="1" applyFill="1" applyBorder="1" applyAlignment="1">
      <alignment horizontal="left" vertical="center" wrapText="1"/>
    </xf>
    <xf numFmtId="0" fontId="7" fillId="18" borderId="2" xfId="0" applyFont="1" applyFill="1" applyBorder="1" applyAlignment="1">
      <alignment vertical="center" wrapText="1"/>
    </xf>
    <xf numFmtId="0" fontId="19" fillId="3" borderId="2" xfId="0" applyFont="1" applyFill="1" applyBorder="1" applyAlignment="1">
      <alignment vertical="center" wrapText="1"/>
    </xf>
    <xf numFmtId="0" fontId="65" fillId="3" borderId="2" xfId="0" applyFont="1" applyFill="1" applyBorder="1" applyAlignment="1">
      <alignment vertical="top" wrapText="1"/>
    </xf>
    <xf numFmtId="0" fontId="19" fillId="18" borderId="2" xfId="0" applyFont="1" applyFill="1" applyBorder="1" applyAlignment="1">
      <alignment vertical="center" wrapText="1"/>
    </xf>
    <xf numFmtId="0" fontId="19" fillId="3" borderId="0" xfId="0" applyFont="1" applyFill="1" applyAlignment="1">
      <alignment horizontal="center" vertical="center" wrapText="1"/>
    </xf>
    <xf numFmtId="0" fontId="39" fillId="0" borderId="3" xfId="0" applyFont="1" applyBorder="1" applyAlignment="1">
      <alignment horizontal="center" vertical="center"/>
    </xf>
    <xf numFmtId="0" fontId="0" fillId="0" borderId="24" xfId="0" applyBorder="1"/>
    <xf numFmtId="0" fontId="0" fillId="0" borderId="4" xfId="0" applyBorder="1"/>
    <xf numFmtId="0" fontId="5" fillId="0" borderId="0" xfId="0" applyFont="1" applyAlignment="1">
      <alignment horizontal="left"/>
    </xf>
    <xf numFmtId="0" fontId="0" fillId="0" borderId="0" xfId="0"/>
    <xf numFmtId="0" fontId="14" fillId="2" borderId="0" xfId="0" applyFont="1" applyFill="1" applyAlignment="1">
      <alignment vertical="center"/>
    </xf>
    <xf numFmtId="0" fontId="80" fillId="3" borderId="2" xfId="0" applyFont="1" applyFill="1" applyBorder="1" applyAlignment="1">
      <alignment horizontal="left" vertical="top" wrapText="1"/>
    </xf>
    <xf numFmtId="0" fontId="25" fillId="2" borderId="0" xfId="0" applyFont="1" applyFill="1"/>
    <xf numFmtId="0" fontId="8" fillId="6" borderId="0" xfId="0" applyFont="1" applyFill="1" applyAlignment="1">
      <alignment vertical="center" wrapText="1"/>
    </xf>
    <xf numFmtId="0" fontId="81" fillId="13" borderId="3" xfId="0" applyFont="1" applyFill="1" applyBorder="1" applyAlignment="1">
      <alignment horizontal="center" vertical="center"/>
    </xf>
    <xf numFmtId="0" fontId="25" fillId="2" borderId="10" xfId="0" applyFont="1" applyFill="1" applyBorder="1"/>
    <xf numFmtId="0" fontId="0" fillId="0" borderId="39" xfId="0" applyBorder="1"/>
    <xf numFmtId="0" fontId="24" fillId="8" borderId="0" xfId="0" applyFont="1" applyFill="1" applyAlignment="1">
      <alignment horizontal="left" vertical="center" wrapText="1"/>
    </xf>
    <xf numFmtId="1" fontId="9" fillId="8" borderId="0" xfId="0" applyNumberFormat="1" applyFont="1" applyFill="1" applyAlignment="1">
      <alignment horizontal="left" vertical="center"/>
    </xf>
    <xf numFmtId="0" fontId="29" fillId="3" borderId="0" xfId="0" applyFont="1" applyFill="1" applyAlignment="1">
      <alignment horizontal="center" vertical="center"/>
    </xf>
    <xf numFmtId="170" fontId="9" fillId="8" borderId="0" xfId="0" applyNumberFormat="1" applyFont="1" applyFill="1" applyAlignment="1">
      <alignment horizontal="left" vertical="center"/>
    </xf>
    <xf numFmtId="0" fontId="10" fillId="2" borderId="0" xfId="0" applyFont="1" applyFill="1" applyAlignment="1">
      <alignment vertical="center"/>
    </xf>
    <xf numFmtId="169" fontId="10" fillId="2" borderId="0" xfId="3" applyNumberFormat="1" applyFont="1" applyFill="1" applyAlignment="1">
      <alignment vertical="center"/>
    </xf>
    <xf numFmtId="169" fontId="10" fillId="2" borderId="0" xfId="3" applyNumberFormat="1" applyFont="1" applyFill="1" applyAlignment="1">
      <alignment horizontal="center" vertical="center"/>
    </xf>
    <xf numFmtId="169" fontId="97" fillId="13" borderId="2" xfId="3" applyNumberFormat="1" applyFont="1" applyFill="1" applyBorder="1" applyAlignment="1">
      <alignment horizontal="center" vertical="center"/>
    </xf>
    <xf numFmtId="0" fontId="7" fillId="3" borderId="0" xfId="0" applyFont="1" applyFill="1" applyAlignment="1">
      <alignment horizontal="left" vertical="center" wrapText="1"/>
    </xf>
    <xf numFmtId="0" fontId="9" fillId="8" borderId="0" xfId="0" applyFont="1" applyFill="1" applyAlignment="1">
      <alignment horizontal="left" vertical="center" wrapText="1"/>
    </xf>
    <xf numFmtId="0" fontId="7" fillId="0" borderId="0" xfId="0" applyFont="1" applyAlignment="1">
      <alignment horizontal="left" vertical="center"/>
    </xf>
    <xf numFmtId="166" fontId="8" fillId="0" borderId="0" xfId="0" applyNumberFormat="1" applyFont="1" applyAlignment="1">
      <alignment horizontal="center" vertical="center"/>
    </xf>
    <xf numFmtId="0" fontId="14" fillId="0" borderId="0" xfId="0" applyFont="1" applyAlignment="1">
      <alignment horizontal="left" vertical="center"/>
    </xf>
    <xf numFmtId="0" fontId="55" fillId="15" borderId="40" xfId="0" applyFont="1" applyFill="1" applyBorder="1" applyAlignment="1">
      <alignment horizontal="right"/>
    </xf>
    <xf numFmtId="0" fontId="0" fillId="0" borderId="41" xfId="0" applyBorder="1"/>
    <xf numFmtId="0" fontId="49" fillId="14" borderId="1" xfId="0" applyFont="1" applyFill="1" applyBorder="1" applyAlignment="1">
      <alignment horizontal="center" vertical="center" textRotation="90"/>
    </xf>
    <xf numFmtId="0" fontId="0" fillId="0" borderId="42" xfId="0" applyBorder="1"/>
    <xf numFmtId="0" fontId="0" fillId="0" borderId="43" xfId="0" applyBorder="1"/>
    <xf numFmtId="168" fontId="25" fillId="8" borderId="0" xfId="0" applyNumberFormat="1" applyFont="1" applyFill="1" applyAlignment="1">
      <alignment horizontal="left" vertical="center"/>
    </xf>
    <xf numFmtId="166" fontId="3" fillId="2" borderId="0" xfId="1" applyFont="1" applyFill="1" applyAlignment="1">
      <alignment horizontal="center"/>
    </xf>
    <xf numFmtId="166" fontId="4" fillId="2" borderId="0" xfId="1" applyFont="1" applyFill="1"/>
    <xf numFmtId="166" fontId="5" fillId="18" borderId="40" xfId="1" applyFont="1" applyFill="1" applyBorder="1" applyAlignment="1">
      <alignment horizontal="left" vertical="center"/>
    </xf>
    <xf numFmtId="0" fontId="0" fillId="0" borderId="44" xfId="0" applyBorder="1"/>
    <xf numFmtId="168" fontId="21" fillId="2" borderId="0" xfId="0" applyNumberFormat="1" applyFont="1" applyFill="1"/>
    <xf numFmtId="166" fontId="4" fillId="2" borderId="0" xfId="1" applyFont="1" applyFill="1" applyAlignment="1">
      <alignment horizontal="center" vertical="top" wrapText="1"/>
    </xf>
    <xf numFmtId="170" fontId="5" fillId="0" borderId="0" xfId="1" applyNumberFormat="1" applyFont="1" applyAlignment="1">
      <alignment horizontal="center"/>
    </xf>
    <xf numFmtId="166" fontId="5" fillId="2" borderId="0" xfId="1" applyFont="1" applyFill="1"/>
  </cellXfs>
  <cellStyles count="6">
    <cellStyle name="Currency" xfId="1" builtinId="4"/>
    <cellStyle name="Currency 2" xfId="4" xr:uid="{00000000-0005-0000-0000-000004000000}"/>
    <cellStyle name="Normal" xfId="0" builtinId="0"/>
    <cellStyle name="Normal 2" xfId="3" xr:uid="{00000000-0005-0000-0000-000003000000}"/>
    <cellStyle name="Percent" xfId="2" builtinId="5"/>
    <cellStyle name="Percent 2" xfId="5" xr:uid="{00000000-0005-0000-0000-000005000000}"/>
  </cellStyles>
  <dxfs count="5888">
    <dxf>
      <font>
        <color theme="0"/>
      </font>
      <fill>
        <patternFill>
          <bgColor theme="8" tint="-0.24994659260841701"/>
        </patternFill>
      </fill>
    </dxf>
    <dxf>
      <font>
        <color theme="0"/>
      </font>
      <fill>
        <patternFill>
          <bgColor theme="8" tint="-0.24994659260841701"/>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b/>
        <color theme="8" tint="-0.499984740745262"/>
      </font>
      <fill>
        <patternFill>
          <bgColor theme="8" tint="0.59996337778862885"/>
        </patternFill>
      </fill>
      <border>
        <vertical/>
        <horizontal/>
      </border>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b/>
        <color rgb="FFC00000"/>
      </font>
      <fill>
        <patternFill>
          <bgColor theme="5" tint="0.79998168889431442"/>
        </patternFill>
      </fill>
    </dxf>
    <dxf>
      <font>
        <color theme="0"/>
      </font>
      <fill>
        <patternFill>
          <bgColor theme="8" tint="-0.49998474074526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4" formatCode="_-[$€-2]\ * #,##0.00_-;\-[$€-2]\ * #,##0.00_-;_-[$€-2]\ * &quot;-&quot;??_-;_-@_-"/>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color theme="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499984740745262"/>
      </font>
      <fill>
        <patternFill>
          <bgColor theme="8" tint="0.59996337778862885"/>
        </patternFill>
      </fill>
    </dxf>
    <dxf>
      <font>
        <b/>
        <color theme="8" tint="-0.499984740745262"/>
      </font>
      <fill>
        <patternFill>
          <bgColor theme="8" tint="0.59996337778862885"/>
        </patternFill>
      </fill>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numFmt numFmtId="174"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font>
        <color rgb="FFC00000"/>
      </font>
      <fill>
        <patternFill>
          <bgColor theme="0" tint="-4.9989318521683403E-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left/>
        <right/>
        <vertical/>
        <horizontal/>
      </border>
    </dxf>
    <dxf>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font>
        <color theme="0"/>
      </font>
      <fill>
        <patternFill>
          <bgColor theme="8" tint="-0.499984740745262"/>
        </patternFill>
      </fill>
    </dxf>
    <dxf>
      <font>
        <b/>
        <color rgb="FFC00000"/>
      </font>
      <fill>
        <patternFill>
          <bgColor theme="5" tint="0.79998168889431442"/>
        </patternFill>
      </fill>
    </dxf>
    <dxf>
      <font>
        <color rgb="FF9C0006"/>
      </font>
      <fill>
        <patternFill>
          <bgColor theme="0"/>
        </patternFill>
      </fill>
    </dxf>
    <dxf>
      <font>
        <b/>
        <color theme="8" tint="-0.499984740745262"/>
      </font>
      <fill>
        <patternFill>
          <bgColor theme="8" tint="0.39994506668294322"/>
        </patternFill>
      </fill>
    </dxf>
    <dxf>
      <fill>
        <patternFill>
          <bgColor theme="8" tint="0.59996337778862885"/>
        </patternFill>
      </fill>
      <border>
        <left style="thin">
          <color auto="1"/>
        </left>
        <right style="thin">
          <color auto="1"/>
        </right>
        <bottom style="thin">
          <color auto="1"/>
        </bottom>
        <vertical/>
        <horizontal/>
      </border>
    </dxf>
    <dxf>
      <border>
        <left/>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b/>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ont>
        <color theme="0"/>
      </font>
      <fill>
        <patternFill>
          <bgColor theme="8" tint="-0.499984740745262"/>
        </patternFill>
      </fill>
    </dxf>
    <dxf>
      <font>
        <b/>
        <color rgb="FFC00000"/>
      </font>
      <fill>
        <patternFill>
          <bgColor theme="5" tint="0.79998168889431442"/>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rgb="FFC00000"/>
      </font>
      <fill>
        <patternFill>
          <bgColor theme="5" tint="0.79998168889431442"/>
        </patternFill>
      </fill>
    </dxf>
    <dxf>
      <font>
        <color theme="0"/>
      </font>
      <fill>
        <patternFill>
          <bgColor theme="8" tint="-0.49998474074526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4" formatCode="_-[$€-2]\ * #,##0.00_-;\-[$€-2]\ * #,##0.00_-;_-[$€-2]\ * &quot;-&quot;??_-;_-@_-"/>
    </dxf>
    <dxf>
      <font>
        <color theme="0"/>
      </font>
      <fill>
        <patternFill>
          <bgColor theme="8" tint="-0.499984740745262"/>
        </patternFill>
      </fill>
    </dxf>
    <dxf>
      <font>
        <color rgb="FFC00000"/>
      </font>
      <fill>
        <patternFill>
          <bgColor theme="5" tint="0.79998168889431442"/>
        </patternFill>
      </fill>
    </dxf>
    <dxf>
      <font>
        <color rgb="FFC00000"/>
      </font>
      <fill>
        <patternFill>
          <bgColor theme="5" tint="0.79998168889431442"/>
        </patternFill>
      </fill>
    </dxf>
    <dxf>
      <font>
        <color theme="0"/>
      </font>
      <fill>
        <patternFill>
          <bgColor theme="8" tint="-0.499984740745262"/>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color theme="8" tint="0.79998168889431442"/>
      </font>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color rgb="FFC00000"/>
      </font>
      <fill>
        <patternFill>
          <bgColor theme="5" tint="0.79998168889431442"/>
        </patternFill>
      </fill>
    </dxf>
    <dxf>
      <fill>
        <patternFill>
          <bgColor theme="0"/>
        </patternFill>
      </fill>
    </dxf>
    <dxf>
      <font>
        <color rgb="FFC00000"/>
      </font>
      <fill>
        <patternFill>
          <bgColor theme="0"/>
        </patternFill>
      </fill>
    </dxf>
    <dxf>
      <font>
        <b/>
        <color auto="1"/>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auto="1"/>
      </font>
      <fill>
        <patternFill>
          <bgColor theme="8" tint="0.79998168889431442"/>
        </patternFill>
      </fill>
    </dxf>
    <dxf>
      <font>
        <b/>
        <color rgb="FF007A37"/>
      </font>
      <fill>
        <patternFill>
          <bgColor theme="8" tint="0.79998168889431442"/>
        </patternFill>
      </fill>
    </dxf>
    <dxf>
      <font>
        <b/>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4" formatCode="_-[$€-2]\ * #,##0.00_-;\-[$€-2]\ * #,##0.00_-;_-[$€-2]\ * &quot;-&quot;??_-;_-@_-"/>
    </dxf>
    <dxf>
      <numFmt numFmtId="177" formatCode="_-* #,##0.00\ [$Kč-405]_-;\-* #,##0.00\ [$Kč-405]_-;_-* &quot;-&quot;??\ [$Kč-405]_-;_-@_-"/>
    </dxf>
    <dxf>
      <numFmt numFmtId="176" formatCode="_-* #,##0.00\ [$zł-415]_-;\-* #,##0.00\ [$zł-415]_-;_-* &quot;-&quot;??\ [$zł-415]_-;_-@_-"/>
    </dxf>
    <dxf>
      <numFmt numFmtId="175" formatCode="_-[$$-409]* #,##0.00_ ;_-[$$-409]* \-#,##0.00\ ;_-[$$-409]* &quot;-&quot;??_ ;_-@_ "/>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7" formatCode="_-* #,##0.00\ [$Kč-405]_-;\-* #,##0.00\ [$Kč-405]_-;_-* &quot;-&quot;??\ [$Kč-405]_-;_-@_-"/>
    </dxf>
    <dxf>
      <numFmt numFmtId="175" formatCode="_-[$$-409]* #,##0.00_ ;_-[$$-409]* \-#,##0.00\ ;_-[$$-409]* &quot;-&quot;??_ ;_-@_ "/>
    </dxf>
    <dxf>
      <numFmt numFmtId="174" formatCode="_-[$€-2]\ * #,##0.00_-;\-[$€-2]\ * #,##0.00_-;_-[$€-2]\ * &quot;-&quot;??_-;_-@_-"/>
    </dxf>
    <dxf>
      <numFmt numFmtId="176" formatCode="_-* #,##0.00\ [$zł-415]_-;\-* #,##0.00\ [$zł-415]_-;_-* &quot;-&quot;??\ [$zł-415]_-;_-@_-"/>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7" formatCode="_-* #,##0.00\ [$Kč-405]_-;\-* #,##0.00\ [$Kč-405]_-;_-* &quot;-&quot;??\ [$Kč-405]_-;_-@_-"/>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font>
        <color theme="8" tint="-0.499984740745262"/>
      </font>
      <fill>
        <patternFill>
          <bgColor theme="8" tint="0.59996337778862885"/>
        </patternFill>
      </fill>
    </dxf>
    <dxf>
      <numFmt numFmtId="174" formatCode="_-[$€-2]\ * #,##0.00_-;\-[$€-2]\ * #,##0.00_-;_-[$€-2]\ * &quot;-&quot;??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font>
        <color theme="8" tint="-0.499984740745262"/>
      </font>
      <fill>
        <patternFill>
          <bgColor theme="8" tint="0.59996337778862885"/>
        </patternFill>
      </fill>
    </dxf>
    <dxf>
      <numFmt numFmtId="174" formatCode="_-[$€-2]\ * #,##0.00_-;\-[$€-2]\ * #,##0.00_-;_-[$€-2]\ * &quot;-&quot;??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5" formatCode="_-[$$-409]* #,##0.00_ ;_-[$$-409]* \-#,##0.00\ ;_-[$$-409]* &quot;-&quot;??_ ;_-@_ "/>
    </dxf>
    <dxf>
      <numFmt numFmtId="176" formatCode="_-* #,##0.00\ [$zł-415]_-;\-* #,##0.00\ [$zł-415]_-;_-* &quot;-&quot;??\ [$zł-415]_-;_-@_-"/>
    </dxf>
    <dxf>
      <numFmt numFmtId="174" formatCode="_-[$€-2]\ * #,##0.00_-;\-[$€-2]\ * #,##0.00_-;_-[$€-2]\ * &quot;-&quot;??_-;_-@_-"/>
    </dxf>
    <dxf>
      <numFmt numFmtId="177" formatCode="_-* #,##0.00\ [$Kč-405]_-;\-* #,##0.00\ [$Kč-405]_-;_-* &quot;-&quot;??\ [$Kč-405]_-;_-@_-"/>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numFmt numFmtId="177" formatCode="_-* #,##0.00\ [$Kč-405]_-;\-* #,##0.00\ [$Kč-405]_-;_-* &quot;-&quot;??\ [$Kč-405]_-;_-@_-"/>
    </dxf>
    <dxf>
      <numFmt numFmtId="174" formatCode="_-[$€-2]\ * #,##0.00_-;\-[$€-2]\ * #,##0.00_-;_-[$€-2]\ * &quot;-&quot;??_-;_-@_-"/>
    </dxf>
    <dxf>
      <numFmt numFmtId="175" formatCode="_-[$$-409]* #,##0.00_ ;_-[$$-409]* \-#,##0.00\ ;_-[$$-409]* &quot;-&quot;??_ ;_-@_ "/>
    </dxf>
    <dxf>
      <numFmt numFmtId="176" formatCode="_-* #,##0.00\ [$zł-415]_-;\-* #,##0.00\ [$zł-415]_-;_-* &quot;-&quot;??\ [$zł-415]_-;_-@_-"/>
    </dxf>
    <dxf>
      <numFmt numFmtId="174" formatCode="_-[$€-2]\ * #,##0.00_-;\-[$€-2]\ * #,##0.00_-;_-[$€-2]\ * &quot;-&quot;??_-;_-@_-"/>
    </dxf>
    <dxf>
      <numFmt numFmtId="177" formatCode="_-* #,##0.00\ [$Kč-405]_-;\-* #,##0.00\ [$Kč-405]_-;_-* &quot;-&quot;??\ [$Kč-405]_-;_-@_-"/>
    </dxf>
    <dxf>
      <numFmt numFmtId="176" formatCode="_-* #,##0.00\ [$zł-415]_-;\-* #,##0.00\ [$zł-415]_-;_-* &quot;-&quot;??\ [$zł-415]_-;_-@_-"/>
    </dxf>
    <dxf>
      <numFmt numFmtId="175" formatCode="_-[$$-409]* #,##0.00_ ;_-[$$-409]* \-#,##0.00\ ;_-[$$-409]* &quot;-&quot;??_ ;_-@_ "/>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7" formatCode="_-* #,##0.00\ [$Kč-405]_-;\-* #,##0.00\ [$Kč-405]_-;_-* &quot;-&quot;??\ [$Kč-405]_-;_-@_-"/>
    </dxf>
    <dxf>
      <numFmt numFmtId="176" formatCode="_-* #,##0.00\ [$zł-415]_-;\-* #,##0.00\ [$zł-415]_-;_-* &quot;-&quot;??\ [$zł-415]_-;_-@_-"/>
    </dxf>
    <dxf>
      <numFmt numFmtId="174" formatCode="_-[$€-2]\ * #,##0.00_-;\-[$€-2]\ * #,##0.00_-;_-[$€-2]\ * &quot;-&quot;??_-;_-@_-"/>
    </dxf>
    <dxf>
      <numFmt numFmtId="175" formatCode="_-[$$-409]* #,##0.00_ ;_-[$$-409]* \-#,##0.00\ ;_-[$$-409]* &quot;-&quot;??_ ;_-@_ "/>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font>
        <b/>
        <color theme="8" tint="-0.499984740745262"/>
      </font>
      <fill>
        <patternFill>
          <bgColor theme="8" tint="0.59996337778862885"/>
        </patternFill>
      </fill>
      <border>
        <vertical/>
        <horizontal/>
      </border>
    </dxf>
    <dxf>
      <numFmt numFmtId="177" formatCode="_-* #,##0.00\ [$Kč-405]_-;\-* #,##0.00\ [$Kč-405]_-;_-* &quot;-&quot;??\ [$Kč-405]_-;_-@_-"/>
    </dxf>
    <dxf>
      <numFmt numFmtId="175" formatCode="_-[$$-409]* #,##0.00_ ;_-[$$-409]* \-#,##0.00\ ;_-[$$-409]* &quot;-&quot;??_ ;_-@_ "/>
    </dxf>
    <dxf>
      <numFmt numFmtId="174" formatCode="_-[$€-2]\ * #,##0.00_-;\-[$€-2]\ * #,##0.00_-;_-[$€-2]\ * &quot;-&quot;??_-;_-@_-"/>
    </dxf>
    <dxf>
      <numFmt numFmtId="176" formatCode="_-* #,##0.00\ [$zł-415]_-;\-* #,##0.00\ [$zł-415]_-;_-* &quot;-&quot;??\ [$zł-415]_-;_-@_-"/>
    </dxf>
    <dxf>
      <numFmt numFmtId="174" formatCode="_-[$€-2]\ * #,##0.00_-;\-[$€-2]\ * #,##0.00_-;_-[$€-2]\ * &quot;-&quot;??_-;_-@_-"/>
    </dxf>
    <dxf>
      <numFmt numFmtId="177" formatCode="_-* #,##0.00\ [$Kč-405]_-;\-* #,##0.00\ [$Kč-405]_-;_-* &quot;-&quot;??\ [$Kč-405]_-;_-@_-"/>
    </dxf>
    <dxf>
      <numFmt numFmtId="176" formatCode="_-* #,##0.00\ [$zł-415]_-;\-* #,##0.00\ [$zł-415]_-;_-* &quot;-&quot;??\ [$zł-415]_-;_-@_-"/>
    </dxf>
    <dxf>
      <numFmt numFmtId="175" formatCode="_-[$$-409]* #,##0.00_ ;_-[$$-409]* \-#,##0.00\ ;_-[$$-409]* &quot;-&quot;??_ ;_-@_ "/>
    </dxf>
    <dxf>
      <font>
        <color theme="8" tint="-0.499984740745262"/>
      </font>
      <fill>
        <patternFill>
          <bgColor theme="8" tint="0.59996337778862885"/>
        </patternFill>
      </fill>
    </dxf>
    <dxf>
      <numFmt numFmtId="175" formatCode="_-[$$-409]* #,##0.00_ ;_-[$$-409]* \-#,##0.00\ ;_-[$$-409]* &quot;-&quot;??_ ;_-@_ "/>
    </dxf>
    <dxf>
      <font>
        <color theme="8" tint="-0.499984740745262"/>
      </font>
      <fill>
        <patternFill>
          <bgColor theme="8" tint="0.59996337778862885"/>
        </patternFill>
      </fill>
    </dxf>
    <dxf>
      <numFmt numFmtId="177" formatCode="_-* #,##0.00\ [$Kč-405]_-;\-* #,##0.00\ [$Kč-405]_-;_-* &quot;-&quot;??\ [$Kč-405]_-;_-@_-"/>
    </dxf>
    <dxf>
      <numFmt numFmtId="176" formatCode="_-* #,##0.00\ [$zł-415]_-;\-* #,##0.00\ [$zł-415]_-;_-* &quot;-&quot;??\ [$zł-415]_-;_-@_-"/>
    </dxf>
    <dxf>
      <numFmt numFmtId="174" formatCode="_-[$€-2]\ * #,##0.00_-;\-[$€-2]\ * #,##0.00_-;_-[$€-2]\ * &quot;-&quot;??_-;_-@_-"/>
    </dxf>
    <dxf>
      <numFmt numFmtId="177" formatCode="_-* #,##0.00\ [$Kč-405]_-;\-* #,##0.00\ [$Kč-405]_-;_-* &quot;-&quot;??\ [$Kč-405]_-;_-@_-"/>
    </dxf>
    <dxf>
      <numFmt numFmtId="175" formatCode="_-[$$-409]* #,##0.00_ ;_-[$$-409]* \-#,##0.00\ ;_-[$$-409]* &quot;-&quot;??_ ;_-@_ "/>
    </dxf>
    <dxf>
      <numFmt numFmtId="174" formatCode="_-[$€-2]\ * #,##0.00_-;\-[$€-2]\ * #,##0.00_-;_-[$€-2]\ * &quot;-&quot;??_-;_-@_-"/>
    </dxf>
    <dxf>
      <numFmt numFmtId="176" formatCode="_-* #,##0.00\ [$zł-415]_-;\-* #,##0.00\ [$zł-415]_-;_-* &quot;-&quot;??\ [$zł-415]_-;_-@_-"/>
    </dxf>
    <dxf>
      <numFmt numFmtId="176" formatCode="_-* #,##0.00\ [$zł-415]_-;\-* #,##0.00\ [$zł-415]_-;_-* &quot;-&quot;??\ [$zł-415]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7" formatCode="_-* #,##0.00\ [$Kč-405]_-;\-* #,##0.00\ [$Kč-405]_-;_-* &quot;-&quot;??\ [$Kč-405]_-;_-@_-"/>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5" formatCode="_-[$$-409]* #,##0.00_ ;_-[$$-409]* \-#,##0.00\ ;_-[$$-409]* &quot;-&quot;??_ ;_-@_ "/>
    </dxf>
    <dxf>
      <numFmt numFmtId="176" formatCode="_-* #,##0.00\ [$zł-415]_-;\-* #,##0.00\ [$zł-415]_-;_-* &quot;-&quot;??\ [$zł-415]_-;_-@_-"/>
    </dxf>
    <dxf>
      <numFmt numFmtId="177" formatCode="_-* #,##0.00\ [$Kč-405]_-;\-* #,##0.00\ [$Kč-405]_-;_-* &quot;-&quot;??\ [$Kč-405]_-;_-@_-"/>
    </dxf>
    <dxf>
      <numFmt numFmtId="174" formatCode="_-[$€-2]\ * #,##0.00_-;\-[$€-2]\ * #,##0.00_-;_-[$€-2]\ * &quot;-&quot;??_-;_-@_-"/>
    </dxf>
    <dxf>
      <numFmt numFmtId="177" formatCode="_-* #,##0.00\ [$Kč-405]_-;\-* #,##0.00\ [$Kč-405]_-;_-* &quot;-&quot;??\ [$Kč-405]_-;_-@_-"/>
    </dxf>
    <dxf>
      <numFmt numFmtId="176" formatCode="_-* #,##0.00\ [$zł-415]_-;\-* #,##0.00\ [$zł-415]_-;_-* &quot;-&quot;??\ [$zł-41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5" formatCode="_-[$$-409]* #,##0.00_ ;_-[$$-409]* \-#,##0.00\ ;_-[$$-409]* &quot;-&quot;??_ ;_-@_ "/>
    </dxf>
    <dxf>
      <numFmt numFmtId="176" formatCode="_-* #,##0.00\ [$zł-415]_-;\-* #,##0.00\ [$zł-415]_-;_-* &quot;-&quot;??\ [$zł-415]_-;_-@_-"/>
    </dxf>
    <dxf>
      <numFmt numFmtId="174" formatCode="_-[$€-2]\ * #,##0.00_-;\-[$€-2]\ * #,##0.00_-;_-[$€-2]\ * &quot;-&quot;??_-;_-@_-"/>
    </dxf>
    <dxf>
      <numFmt numFmtId="177" formatCode="_-* #,##0.00\ [$Kč-405]_-;\-* #,##0.00\ [$Kč-405]_-;_-* &quot;-&quot;??\ [$Kč-405]_-;_-@_-"/>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numFmt numFmtId="174" formatCode="_-[$€-2]\ * #,##0.00_-;\-[$€-2]\ * #,##0.00_-;_-[$€-2]\ * &quot;-&quot;??_-;_-@_-"/>
    </dxf>
    <dxf>
      <font>
        <color theme="8" tint="-0.499984740745262"/>
      </font>
      <fill>
        <patternFill>
          <bgColor theme="8" tint="0.59996337778862885"/>
        </patternFill>
      </fill>
    </dxf>
    <dxf>
      <numFmt numFmtId="175" formatCode="_-[$$-409]* #,##0.00_ ;_-[$$-409]* \-#,##0.00\ ;_-[$$-409]* &quot;-&quot;??_ ;_-@_ "/>
    </dxf>
    <dxf>
      <numFmt numFmtId="177" formatCode="_-* #,##0.00\ [$Kč-405]_-;\-* #,##0.00\ [$Kč-405]_-;_-* &quot;-&quot;??\ [$Kč-405]_-;_-@_-"/>
    </dxf>
    <dxf>
      <numFmt numFmtId="176" formatCode="_-* #,##0.00\ [$zł-415]_-;\-* #,##0.00\ [$zł-415]_-;_-* &quot;-&quot;??\ [$zł-41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8" tint="-0.499984740745262"/>
      </font>
      <fill>
        <patternFill>
          <bgColor theme="8" tint="0.59996337778862885"/>
        </patternFill>
      </fill>
    </dxf>
    <dxf>
      <numFmt numFmtId="174" formatCode="_-[$€-2]\ * #,##0.00_-;\-[$€-2]\ * #,##0.00_-;_-[$€-2]\ * &quot;-&quot;??_-;_-@_-"/>
    </dxf>
    <dxf>
      <numFmt numFmtId="177" formatCode="_-* #,##0.00\ [$Kč-405]_-;\-* #,##0.00\ [$Kč-405]_-;_-* &quot;-&quot;??\ [$Kč-405]_-;_-@_-"/>
    </dxf>
    <dxf>
      <numFmt numFmtId="176" formatCode="_-* #,##0.00\ [$zł-415]_-;\-* #,##0.00\ [$zł-415]_-;_-* &quot;-&quot;??\ [$zł-415]_-;_-@_-"/>
    </dxf>
    <dxf>
      <numFmt numFmtId="175" formatCode="_-[$$-409]* #,##0.00_ ;_-[$$-409]* \-#,##0.00\ ;_-[$$-409]* &quot;-&quot;??_ ;_-@_ "/>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numFmt numFmtId="177" formatCode="_-* #,##0.00\ [$Kč-405]_-;\-* #,##0.00\ [$Kč-405]_-;_-* &quot;-&quot;??\ [$Kč-405]_-;_-@_-"/>
    </dxf>
    <dxf>
      <font>
        <color theme="8" tint="-0.499984740745262"/>
      </font>
      <fill>
        <patternFill>
          <bgColor theme="8" tint="0.59996337778862885"/>
        </patternFill>
      </fill>
    </dxf>
    <dxf>
      <numFmt numFmtId="174" formatCode="_-[$€-2]\ * #,##0.00_-;\-[$€-2]\ * #,##0.00_-;_-[$€-2]\ * &quot;-&quot;??_-;_-@_-"/>
    </dxf>
    <dxf>
      <numFmt numFmtId="176" formatCode="_-* #,##0.00\ [$zł-415]_-;\-* #,##0.00\ [$zł-415]_-;_-* &quot;-&quot;??\ [$zł-415]_-;_-@_-"/>
    </dxf>
    <dxf>
      <numFmt numFmtId="175" formatCode="_-[$$-409]* #,##0.00_ ;_-[$$-409]* \-#,##0.00\ ;_-[$$-409]* &quot;-&quot;??_ ;_-@_ "/>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font>
        <color theme="8" tint="0.79995117038483843"/>
      </font>
      <fill>
        <patternFill patternType="solid">
          <bgColor theme="8" tint="-0.499984740745262"/>
        </patternFill>
      </fill>
      <border>
        <left/>
        <right/>
        <top/>
        <bottom/>
      </border>
    </dxf>
    <dxf>
      <numFmt numFmtId="174" formatCode="_-[$€-2]\ * #,##0.00_-;\-[$€-2]\ * #,##0.00_-;_-[$€-2]\ * &quot;-&quot;??_-;_-@_-"/>
    </dxf>
    <dxf>
      <numFmt numFmtId="175" formatCode="_-[$$-409]* #,##0.00_ ;_-[$$-409]* \-#,##0.00\ ;_-[$$-409]* &quot;-&quot;??_ ;_-@_ "/>
    </dxf>
    <dxf>
      <numFmt numFmtId="177" formatCode="_-* #,##0.00\ [$Kč-405]_-;\-* #,##0.00\ [$Kč-405]_-;_-* &quot;-&quot;??\ [$Kč-405]_-;_-@_-"/>
    </dxf>
    <dxf>
      <numFmt numFmtId="176" formatCode="_-* #,##0.00\ [$zł-415]_-;\-* #,##0.00\ [$zł-415]_-;_-* &quot;-&quot;??\ [$zł-415]_-;_-@_-"/>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font>
        <b/>
        <color theme="8" tint="-0.499984740745262"/>
      </font>
      <fill>
        <patternFill>
          <bgColor theme="8" tint="0.59996337778862885"/>
        </patternFill>
      </fill>
    </dxf>
    <dxf>
      <numFmt numFmtId="174" formatCode="_-[$€-2]\ * #,##0.00_-;\-[$€-2]\ * #,##0.00_-;_-[$€-2]\ * &quot;-&quot;??_-;_-@_-"/>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b/>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theme="0"/>
        </patternFill>
      </fill>
    </dxf>
    <dxf>
      <font>
        <color rgb="FFC00000"/>
      </font>
      <fill>
        <patternFill>
          <bgColor theme="5" tint="0.79998168889431442"/>
        </patternFill>
      </fill>
    </dxf>
    <dxf>
      <font>
        <color rgb="FFC00000"/>
      </font>
      <fill>
        <patternFill>
          <bgColor auto="1"/>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color theme="8" tint="-0.499984740745262"/>
      </font>
      <fill>
        <patternFill>
          <bgColor theme="8" tint="0.79998168889431442"/>
        </patternFill>
      </fill>
      <border>
        <left style="thin">
          <color auto="1"/>
        </left>
        <right style="thin">
          <color auto="1"/>
        </right>
        <top style="thin">
          <color auto="1"/>
        </top>
        <bottom style="thin">
          <color auto="1"/>
        </bottom>
      </border>
    </dxf>
    <dxf>
      <font>
        <b/>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color rgb="FFC00000"/>
      </font>
      <fill>
        <patternFill>
          <bgColor theme="5"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theme="0"/>
      </font>
      <fill>
        <patternFill>
          <bgColor rgb="FFFF0000"/>
        </patternFill>
      </fill>
    </dxf>
    <dxf>
      <font>
        <color rgb="FF9C0006"/>
      </font>
      <fill>
        <patternFill>
          <bgColor rgb="FFFFC7CE"/>
        </patternFill>
      </fill>
    </dxf>
    <dxf>
      <font>
        <color theme="0"/>
      </font>
      <fill>
        <patternFill>
          <bgColor theme="8" tint="-0.24994659260841701"/>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b/>
        <color auto="1"/>
      </font>
      <fill>
        <patternFill>
          <bgColor theme="8" tint="0.79998168889431442"/>
        </patternFill>
      </fill>
    </dxf>
    <dxf>
      <font>
        <b/>
        <color auto="1"/>
      </font>
      <fill>
        <patternFill>
          <bgColor theme="8" tint="0.79998168889431442"/>
        </patternFill>
      </fill>
    </dxf>
    <dxf>
      <font>
        <color theme="8" tint="-0.499984740745262"/>
      </font>
    </dxf>
    <dxf>
      <font>
        <b/>
        <color auto="1"/>
      </font>
      <fill>
        <patternFill>
          <bgColor theme="8" tint="0.79998168889431442"/>
        </patternFill>
      </fill>
    </dxf>
    <dxf>
      <font>
        <b/>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74" formatCode="_-[$€-2]\ * #,##0.00_-;\-[$€-2]\ * #,##0.00_-;_-[$€-2]\ * &quot;-&quot;??_-;_-@_-"/>
    </dxf>
    <dxf>
      <numFmt numFmtId="175" formatCode="_-[$$-409]* #,##0.00_ ;_-[$$-409]* \-#,##0.00\ ;_-[$$-409]* &quot;-&quot;??_ ;_-@_ "/>
    </dxf>
    <dxf>
      <numFmt numFmtId="176" formatCode="_-* #,##0.00\ [$zł-415]_-;\-* #,##0.00\ [$zł-415]_-;_-* &quot;-&quot;??\ [$zł-415]_-;_-@_-"/>
    </dxf>
    <dxf>
      <numFmt numFmtId="177" formatCode="_-* #,##0.00\ [$Kč-405]_-;\-* #,##0.00\ [$Kč-405]_-;_-* &quot;-&quot;??\ [$Kč-405]_-;_-@_-"/>
    </dxf>
    <dxf>
      <numFmt numFmtId="176" formatCode="_-* #,##0.00\ [$zł-415]_-;\-* #,##0.00\ [$zł-415]_-;_-* &quot;-&quot;??\ [$zł-415]_-;_-@_-"/>
    </dxf>
    <dxf>
      <numFmt numFmtId="177" formatCode="_-* #,##0.00\ [$Kč-405]_-;\-* #,##0.00\ [$Kč-405]_-;_-* &quot;-&quot;??\ [$Kč-405]_-;_-@_-"/>
    </dxf>
    <dxf>
      <numFmt numFmtId="175" formatCode="_-[$$-409]* #,##0.00_ ;_-[$$-409]* \-#,##0.00\ ;_-[$$-409]* &quot;-&quot;??_ ;_-@_ "/>
    </dxf>
    <dxf>
      <numFmt numFmtId="174" formatCode="_-[$€-2]\ * #,##0.00_-;\-[$€-2]\ * #,##0.00_-;_-[$€-2]\ * &quot;-&quot;??_-;_-@_-"/>
    </dxf>
    <dxf>
      <font>
        <color theme="8" tint="0.79995117038483843"/>
      </font>
      <fill>
        <patternFill patternType="solid">
          <bgColor theme="8" tint="-0.499984740745262"/>
        </patternFill>
      </fill>
      <border>
        <left/>
        <right/>
        <top/>
        <bottom/>
      </border>
    </dxf>
    <dxf>
      <font>
        <color theme="5" tint="-0.24994659260841701"/>
      </font>
      <fill>
        <patternFill>
          <bgColor theme="5" tint="0.79998168889431442"/>
        </patternFill>
      </fill>
      <border>
        <left/>
        <right/>
        <top/>
        <bottom/>
      </border>
    </dxf>
    <dxf>
      <numFmt numFmtId="176" formatCode="_-* #,##0.00\ [$zł-415]_-;\-* #,##0.00\ [$zł-415]_-;_-* &quot;-&quot;??\ [$zł-415]_-;_-@_-"/>
    </dxf>
    <dxf>
      <numFmt numFmtId="175" formatCode="_-[$$-409]* #,##0.00_ ;_-[$$-409]* \-#,##0.00\ ;_-[$$-409]* &quot;-&quot;??_ ;_-@_ "/>
    </dxf>
    <dxf>
      <numFmt numFmtId="174" formatCode="_-[$€-2]\ * #,##0.00_-;\-[$€-2]\ * #,##0.00_-;_-[$€-2]\ * &quot;-&quot;??_-;_-@_-"/>
    </dxf>
    <dxf>
      <numFmt numFmtId="177" formatCode="_-* #,##0.00\ [$Kč-405]_-;\-* #,##0.00\ [$Kč-405]_-;_-* &quot;-&quot;??\ [$Kč-405]_-;_-@_-"/>
    </dxf>
    <dxf>
      <font>
        <b/>
        <color theme="8" tint="-0.499984740745262"/>
      </font>
      <fill>
        <patternFill>
          <bgColor theme="8" tint="0.59996337778862885"/>
        </patternFill>
      </fill>
    </dxf>
    <dxf>
      <numFmt numFmtId="174" formatCode="_-[$€-2]\ * #,##0.00_-;\-[$€-2]\ * #,##0.00_-;_-[$€-2]\ * &quot;-&quot;??_-;_-@_-"/>
    </dxf>
    <dxf>
      <font>
        <color rgb="FFC00000"/>
      </font>
      <fill>
        <patternFill>
          <bgColor auto="1"/>
        </patternFill>
      </fill>
    </dxf>
    <dxf>
      <font>
        <color rgb="FFC00000"/>
      </font>
      <fill>
        <patternFill>
          <bgColor auto="1"/>
        </patternFill>
      </fill>
    </dxf>
    <dxf>
      <font>
        <b/>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externalLink" Target="externalLinks/externalLink17.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181" Type="http://schemas.openxmlformats.org/officeDocument/2006/relationships/externalLink" Target="externalLinks/externalLink7.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71" Type="http://schemas.openxmlformats.org/officeDocument/2006/relationships/worksheet" Target="worksheets/sheet171.xml"/><Relationship Id="rId192" Type="http://schemas.openxmlformats.org/officeDocument/2006/relationships/theme" Target="theme/theme1.xml"/><Relationship Id="rId12" Type="http://schemas.openxmlformats.org/officeDocument/2006/relationships/worksheet" Target="worksheets/sheet12.xml"/><Relationship Id="rId33" Type="http://schemas.openxmlformats.org/officeDocument/2006/relationships/worksheet" Target="worksheets/sheet33.xml"/><Relationship Id="rId108" Type="http://schemas.openxmlformats.org/officeDocument/2006/relationships/worksheet" Target="worksheets/sheet108.xml"/><Relationship Id="rId129" Type="http://schemas.openxmlformats.org/officeDocument/2006/relationships/worksheet" Target="worksheets/sheet129.xml"/><Relationship Id="rId54" Type="http://schemas.openxmlformats.org/officeDocument/2006/relationships/worksheet" Target="worksheets/sheet54.xml"/><Relationship Id="rId75" Type="http://schemas.openxmlformats.org/officeDocument/2006/relationships/worksheet" Target="worksheets/sheet75.xml"/><Relationship Id="rId96" Type="http://schemas.openxmlformats.org/officeDocument/2006/relationships/worksheet" Target="worksheets/sheet96.xml"/><Relationship Id="rId140" Type="http://schemas.openxmlformats.org/officeDocument/2006/relationships/worksheet" Target="worksheets/sheet140.xml"/><Relationship Id="rId161" Type="http://schemas.openxmlformats.org/officeDocument/2006/relationships/worksheet" Target="worksheets/sheet161.xml"/><Relationship Id="rId182" Type="http://schemas.openxmlformats.org/officeDocument/2006/relationships/externalLink" Target="externalLinks/externalLink8.xml"/><Relationship Id="rId6" Type="http://schemas.openxmlformats.org/officeDocument/2006/relationships/worksheet" Target="worksheets/sheet6.xml"/><Relationship Id="rId23" Type="http://schemas.openxmlformats.org/officeDocument/2006/relationships/worksheet" Target="worksheets/sheet23.xml"/><Relationship Id="rId119" Type="http://schemas.openxmlformats.org/officeDocument/2006/relationships/worksheet" Target="worksheets/sheet119.xml"/><Relationship Id="rId44" Type="http://schemas.openxmlformats.org/officeDocument/2006/relationships/worksheet" Target="worksheets/sheet44.xml"/><Relationship Id="rId65" Type="http://schemas.openxmlformats.org/officeDocument/2006/relationships/worksheet" Target="worksheets/sheet65.xml"/><Relationship Id="rId86" Type="http://schemas.openxmlformats.org/officeDocument/2006/relationships/worksheet" Target="worksheets/sheet86.xml"/><Relationship Id="rId130" Type="http://schemas.openxmlformats.org/officeDocument/2006/relationships/worksheet" Target="worksheets/sheet130.xml"/><Relationship Id="rId151" Type="http://schemas.openxmlformats.org/officeDocument/2006/relationships/worksheet" Target="worksheets/sheet151.xml"/><Relationship Id="rId172" Type="http://schemas.openxmlformats.org/officeDocument/2006/relationships/worksheet" Target="worksheets/sheet172.xml"/><Relationship Id="rId193" Type="http://schemas.openxmlformats.org/officeDocument/2006/relationships/styles" Target="styles.xml"/><Relationship Id="rId13" Type="http://schemas.openxmlformats.org/officeDocument/2006/relationships/worksheet" Target="worksheets/sheet13.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externalLink" Target="externalLinks/externalLink1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externalLink" Target="externalLinks/externalLink9.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externalLink" Target="externalLinks/externalLink4.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externalLink" Target="externalLinks/externalLink10.xml"/><Relationship Id="rId189" Type="http://schemas.openxmlformats.org/officeDocument/2006/relationships/externalLink" Target="externalLinks/externalLink15.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externalLink" Target="externalLinks/externalLink5.xml"/><Relationship Id="rId195" Type="http://schemas.openxmlformats.org/officeDocument/2006/relationships/calcChain" Target="calcChain.xml"/><Relationship Id="rId190" Type="http://schemas.openxmlformats.org/officeDocument/2006/relationships/externalLink" Target="externalLinks/externalLink16.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externalLink" Target="externalLinks/externalLink11.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6.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externalLink" Target="externalLinks/externalLink1.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externalLink" Target="externalLinks/externalLink12.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externalLink" Target="externalLinks/externalLink2.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externalLink" Target="externalLinks/externalLink13.xml"/><Relationship Id="rId1" Type="http://schemas.openxmlformats.org/officeDocument/2006/relationships/worksheet" Target="worksheets/sheet1.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externalLink" Target="externalLinks/externalLink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5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6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7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8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9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6.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0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9.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0.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1.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1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6.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stretch>
          <a:fillRect/>
        </a:stretch>
      </xdr:blipFill>
      <xdr:spPr>
        <a:xfrm>
          <a:off x="13515562" y="438151"/>
          <a:ext cx="1753012" cy="380999"/>
        </a:xfrm>
        <a:prstGeom prst="rect">
          <a:avLst/>
        </a:prstGeom>
        <a:ln>
          <a:prstDash val="solid"/>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tretch>
          <a:fillRect/>
        </a:stretch>
      </xdr:blipFill>
      <xdr:spPr>
        <a:xfrm>
          <a:off x="15951200" y="381000"/>
          <a:ext cx="1838178" cy="381947"/>
        </a:xfrm>
        <a:prstGeom prst="rect">
          <a:avLst/>
        </a:prstGeom>
        <a:ln>
          <a:prstDash val="solid"/>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898379</xdr:colOff>
      <xdr:row>4</xdr:row>
      <xdr:rowOff>947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stretch>
          <a:fillRect/>
        </a:stretch>
      </xdr:blipFill>
      <xdr:spPr>
        <a:xfrm>
          <a:off x="16268700" y="381000"/>
          <a:ext cx="1850879" cy="381947"/>
        </a:xfrm>
        <a:prstGeom prst="rect">
          <a:avLst/>
        </a:prstGeom>
        <a:ln>
          <a:prstDash val="soli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12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13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4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5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16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16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17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1B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1C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1D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E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1F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0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0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1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25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26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27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8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29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2A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2A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2B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0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31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32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3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4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5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5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36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3A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3B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3C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D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3E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3F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3F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0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4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45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46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7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48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49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49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4A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5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4E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54.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4F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55.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50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5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1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5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2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5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3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3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5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4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0.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59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1.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5A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62.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5B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6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C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6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5D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6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5E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5E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6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5F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67.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63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6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64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69.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65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70.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66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67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68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68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7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69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74.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6D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75.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6E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76.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6F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77.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70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7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71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7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72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8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73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81.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77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8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78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83.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79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8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7A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8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7B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8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7C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7C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8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7D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88.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82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89.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83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90.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84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91.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85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9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86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9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87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87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9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88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95.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8C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96.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8D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9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8E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98.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8F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99.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90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0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91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91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0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92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0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96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49227" cy="393102"/>
        </a:xfrm>
        <a:prstGeom prst="rect">
          <a:avLst/>
        </a:prstGeom>
        <a:ln>
          <a:prstDash val="solid"/>
        </a:ln>
      </xdr:spPr>
    </xdr:pic>
    <xdr:clientData/>
  </xdr:twoCellAnchor>
</xdr:wsDr>
</file>

<file path=xl/drawings/drawing10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2" name="Picture 1">
          <a:extLst>
            <a:ext uri="{FF2B5EF4-FFF2-40B4-BE49-F238E27FC236}">
              <a16:creationId xmlns:a16="http://schemas.microsoft.com/office/drawing/2014/main" id="{00000000-0008-0000-9700-000002000000}"/>
            </a:ext>
          </a:extLst>
        </xdr:cNvPr>
        <xdr:cNvPicPr>
          <a:picLocks noChangeAspect="1"/>
        </xdr:cNvPicPr>
      </xdr:nvPicPr>
      <xdr:blipFill>
        <a:blip xmlns:r="http://schemas.openxmlformats.org/officeDocument/2006/relationships" r:embed="rId1" cstate="print"/>
        <a:stretch>
          <a:fillRect/>
        </a:stretch>
      </xdr:blipFill>
      <xdr:spPr>
        <a:xfrm>
          <a:off x="10109947" y="461681"/>
          <a:ext cx="1933141" cy="393102"/>
        </a:xfrm>
        <a:prstGeom prst="rect">
          <a:avLst/>
        </a:prstGeom>
        <a:ln>
          <a:prstDash val="solid"/>
        </a:ln>
      </xdr:spPr>
    </xdr:pic>
    <xdr:clientData/>
  </xdr:twoCellAnchor>
</xdr:wsDr>
</file>

<file path=xl/drawings/drawing104.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2" name="Picture 1">
          <a:extLst>
            <a:ext uri="{FF2B5EF4-FFF2-40B4-BE49-F238E27FC236}">
              <a16:creationId xmlns:a16="http://schemas.microsoft.com/office/drawing/2014/main" id="{00000000-0008-0000-9800-000002000000}"/>
            </a:ext>
          </a:extLst>
        </xdr:cNvPr>
        <xdr:cNvPicPr>
          <a:picLocks noChangeAspect="1"/>
        </xdr:cNvPicPr>
      </xdr:nvPicPr>
      <xdr:blipFill>
        <a:blip xmlns:r="http://schemas.openxmlformats.org/officeDocument/2006/relationships" r:embed="rId1" cstate="print"/>
        <a:stretch>
          <a:fillRect/>
        </a:stretch>
      </xdr:blipFill>
      <xdr:spPr>
        <a:xfrm>
          <a:off x="13222194" y="530412"/>
          <a:ext cx="1871944" cy="425635"/>
        </a:xfrm>
        <a:prstGeom prst="rect">
          <a:avLst/>
        </a:prstGeom>
        <a:ln>
          <a:prstDash val="solid"/>
        </a:ln>
      </xdr:spPr>
    </xdr:pic>
    <xdr:clientData/>
  </xdr:twoCellAnchor>
</xdr:wsDr>
</file>

<file path=xl/drawings/drawing10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9900-000002000000}"/>
            </a:ext>
          </a:extLst>
        </xdr:cNvPr>
        <xdr:cNvPicPr>
          <a:picLocks noChangeAspect="1"/>
        </xdr:cNvPicPr>
      </xdr:nvPicPr>
      <xdr:blipFill>
        <a:blip xmlns:r="http://schemas.openxmlformats.org/officeDocument/2006/relationships" r:embed="rId1" cstate="print"/>
        <a:stretch>
          <a:fillRect/>
        </a:stretch>
      </xdr:blipFill>
      <xdr:spPr>
        <a:xfrm>
          <a:off x="12136717" y="434788"/>
          <a:ext cx="1890621" cy="385482"/>
        </a:xfrm>
        <a:prstGeom prst="rect">
          <a:avLst/>
        </a:prstGeom>
        <a:ln>
          <a:prstDash val="solid"/>
        </a:ln>
      </xdr:spPr>
    </xdr:pic>
    <xdr:clientData/>
  </xdr:twoCellAnchor>
</xdr:wsDr>
</file>

<file path=xl/drawings/drawing106.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9A00-000002000000}"/>
            </a:ext>
          </a:extLst>
        </xdr:cNvPr>
        <xdr:cNvPicPr>
          <a:picLocks noChangeAspect="1"/>
        </xdr:cNvPicPr>
      </xdr:nvPicPr>
      <xdr:blipFill>
        <a:blip xmlns:r="http://schemas.openxmlformats.org/officeDocument/2006/relationships" r:embed="rId1" cstate="print"/>
        <a:stretch>
          <a:fillRect/>
        </a:stretch>
      </xdr:blipFill>
      <xdr:spPr>
        <a:xfrm>
          <a:off x="12124017" y="434788"/>
          <a:ext cx="1890621" cy="385482"/>
        </a:xfrm>
        <a:prstGeom prst="rect">
          <a:avLst/>
        </a:prstGeom>
        <a:ln>
          <a:prstDash val="solid"/>
        </a:ln>
      </xdr:spPr>
    </xdr:pic>
    <xdr:clientData/>
  </xdr:twoCellAnchor>
</xdr:wsDr>
</file>

<file path=xl/drawings/drawing10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9B00-000002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9B00-000003000000}"/>
            </a:ext>
          </a:extLst>
        </xdr:cNvPr>
        <xdr:cNvPicPr>
          <a:picLocks noChangeAspect="1"/>
        </xdr:cNvPicPr>
      </xdr:nvPicPr>
      <xdr:blipFill>
        <a:blip xmlns:r="http://schemas.openxmlformats.org/officeDocument/2006/relationships" r:embed="rId1" cstate="print"/>
        <a:stretch>
          <a:fillRect/>
        </a:stretch>
      </xdr:blipFill>
      <xdr:spPr>
        <a:xfrm>
          <a:off x="17135475" y="438150"/>
          <a:ext cx="1855882" cy="380999"/>
        </a:xfrm>
        <a:prstGeom prst="rect">
          <a:avLst/>
        </a:prstGeom>
        <a:ln>
          <a:prstDash val="solid"/>
        </a:ln>
      </xdr:spPr>
    </xdr:pic>
    <xdr:clientData/>
  </xdr:twoCellAnchor>
</xdr:wsDr>
</file>

<file path=xl/drawings/drawing10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9C00-000002000000}"/>
            </a:ext>
          </a:extLst>
        </xdr:cNvPr>
        <xdr:cNvPicPr>
          <a:picLocks noChangeAspect="1"/>
        </xdr:cNvPicPr>
      </xdr:nvPicPr>
      <xdr:blipFill>
        <a:blip xmlns:r="http://schemas.openxmlformats.org/officeDocument/2006/relationships" r:embed="rId1" cstate="print"/>
        <a:stretch>
          <a:fillRect/>
        </a:stretch>
      </xdr:blipFill>
      <xdr:spPr>
        <a:xfrm>
          <a:off x="17122775" y="438150"/>
          <a:ext cx="1873027" cy="384809"/>
        </a:xfrm>
        <a:prstGeom prst="rect">
          <a:avLst/>
        </a:prstGeom>
        <a:ln>
          <a:prstDash val="solid"/>
        </a:ln>
      </xdr:spPr>
    </xdr:pic>
    <xdr:clientData/>
  </xdr:twoCellAnchor>
</xdr:wsDr>
</file>

<file path=xl/drawings/drawing109.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781574</xdr:colOff>
      <xdr:row>4</xdr:row>
      <xdr:rowOff>92783</xdr:rowOff>
    </xdr:to>
    <xdr:pic>
      <xdr:nvPicPr>
        <xdr:cNvPr id="2" name="Picture 1">
          <a:extLst>
            <a:ext uri="{FF2B5EF4-FFF2-40B4-BE49-F238E27FC236}">
              <a16:creationId xmlns:a16="http://schemas.microsoft.com/office/drawing/2014/main" id="{00000000-0008-0000-A100-000002000000}"/>
            </a:ext>
          </a:extLst>
        </xdr:cNvPr>
        <xdr:cNvPicPr>
          <a:picLocks noChangeAspect="1"/>
        </xdr:cNvPicPr>
      </xdr:nvPicPr>
      <xdr:blipFill>
        <a:blip xmlns:r="http://schemas.openxmlformats.org/officeDocument/2006/relationships" r:embed="rId1" cstate="print"/>
        <a:stretch>
          <a:fillRect/>
        </a:stretch>
      </xdr:blipFill>
      <xdr:spPr>
        <a:xfrm>
          <a:off x="8919322" y="461681"/>
          <a:ext cx="1714912" cy="385482"/>
        </a:xfrm>
        <a:prstGeom prst="rect">
          <a:avLst/>
        </a:prstGeom>
        <a:ln>
          <a:prstDash val="solid"/>
        </a:ln>
      </xdr:spPr>
    </xdr:pic>
    <xdr:clientData/>
  </xdr:twoCellAnchor>
</xdr:wsDr>
</file>

<file path=xl/drawings/drawing110.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92783</xdr:rowOff>
    </xdr:to>
    <xdr:pic>
      <xdr:nvPicPr>
        <xdr:cNvPr id="3" name="Picture 2">
          <a:extLst>
            <a:ext uri="{FF2B5EF4-FFF2-40B4-BE49-F238E27FC236}">
              <a16:creationId xmlns:a16="http://schemas.microsoft.com/office/drawing/2014/main" id="{00000000-0008-0000-A200-000003000000}"/>
            </a:ext>
          </a:extLst>
        </xdr:cNvPr>
        <xdr:cNvPicPr>
          <a:picLocks noChangeAspect="1"/>
        </xdr:cNvPicPr>
      </xdr:nvPicPr>
      <xdr:blipFill>
        <a:blip xmlns:r="http://schemas.openxmlformats.org/officeDocument/2006/relationships" r:embed="rId1" cstate="print"/>
        <a:stretch>
          <a:fillRect/>
        </a:stretch>
      </xdr:blipFill>
      <xdr:spPr>
        <a:xfrm>
          <a:off x="9161929" y="457199"/>
          <a:ext cx="1753012" cy="380999"/>
        </a:xfrm>
        <a:prstGeom prst="rect">
          <a:avLst/>
        </a:prstGeom>
        <a:ln>
          <a:prstDash val="solid"/>
        </a:ln>
      </xdr:spPr>
    </xdr:pic>
    <xdr:clientData/>
  </xdr:twoCellAnchor>
</xdr:wsDr>
</file>

<file path=xl/drawings/drawing111.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971738</xdr:colOff>
      <xdr:row>4</xdr:row>
      <xdr:rowOff>130547</xdr:rowOff>
    </xdr:to>
    <xdr:pic>
      <xdr:nvPicPr>
        <xdr:cNvPr id="3" name="Picture 2">
          <a:extLst>
            <a:ext uri="{FF2B5EF4-FFF2-40B4-BE49-F238E27FC236}">
              <a16:creationId xmlns:a16="http://schemas.microsoft.com/office/drawing/2014/main" id="{00000000-0008-0000-A300-000003000000}"/>
            </a:ext>
          </a:extLst>
        </xdr:cNvPr>
        <xdr:cNvPicPr>
          <a:picLocks noChangeAspect="1"/>
        </xdr:cNvPicPr>
      </xdr:nvPicPr>
      <xdr:blipFill>
        <a:blip xmlns:r="http://schemas.openxmlformats.org/officeDocument/2006/relationships" r:embed="rId1" cstate="print"/>
        <a:stretch>
          <a:fillRect/>
        </a:stretch>
      </xdr:blipFill>
      <xdr:spPr>
        <a:xfrm>
          <a:off x="11896165" y="510988"/>
          <a:ext cx="1753012" cy="380999"/>
        </a:xfrm>
        <a:prstGeom prst="rect">
          <a:avLst/>
        </a:prstGeom>
        <a:ln>
          <a:prstDash val="solid"/>
        </a:ln>
      </xdr:spPr>
    </xdr:pic>
    <xdr:clientData/>
  </xdr:twoCellAnchor>
</xdr:wsDr>
</file>

<file path=xl/drawings/drawing112.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2" name="Picture 1">
          <a:extLst>
            <a:ext uri="{FF2B5EF4-FFF2-40B4-BE49-F238E27FC236}">
              <a16:creationId xmlns:a16="http://schemas.microsoft.com/office/drawing/2014/main" id="{00000000-0008-0000-A400-000002000000}"/>
            </a:ext>
          </a:extLst>
        </xdr:cNvPr>
        <xdr:cNvPicPr>
          <a:picLocks noChangeAspect="1"/>
        </xdr:cNvPicPr>
      </xdr:nvPicPr>
      <xdr:blipFill>
        <a:blip xmlns:r="http://schemas.openxmlformats.org/officeDocument/2006/relationships" r:embed="rId1" cstate="print"/>
        <a:stretch>
          <a:fillRect/>
        </a:stretch>
      </xdr:blipFill>
      <xdr:spPr>
        <a:xfrm>
          <a:off x="10653992" y="434788"/>
          <a:ext cx="1721076" cy="385482"/>
        </a:xfrm>
        <a:prstGeom prst="rect">
          <a:avLst/>
        </a:prstGeom>
        <a:ln>
          <a:prstDash val="solid"/>
        </a:ln>
      </xdr:spPr>
    </xdr:pic>
    <xdr:clientData/>
  </xdr:twoCellAnchor>
</xdr:wsDr>
</file>

<file path=xl/drawings/drawing113.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819338</xdr:colOff>
      <xdr:row>4</xdr:row>
      <xdr:rowOff>58270</xdr:rowOff>
    </xdr:to>
    <xdr:pic>
      <xdr:nvPicPr>
        <xdr:cNvPr id="4" name="Picture 3">
          <a:extLst>
            <a:ext uri="{FF2B5EF4-FFF2-40B4-BE49-F238E27FC236}">
              <a16:creationId xmlns:a16="http://schemas.microsoft.com/office/drawing/2014/main" id="{00000000-0008-0000-A500-000004000000}"/>
            </a:ext>
          </a:extLst>
        </xdr:cNvPr>
        <xdr:cNvPicPr>
          <a:picLocks noChangeAspect="1"/>
        </xdr:cNvPicPr>
      </xdr:nvPicPr>
      <xdr:blipFill>
        <a:blip xmlns:r="http://schemas.openxmlformats.org/officeDocument/2006/relationships" r:embed="rId1" cstate="print"/>
        <a:stretch>
          <a:fillRect/>
        </a:stretch>
      </xdr:blipFill>
      <xdr:spPr>
        <a:xfrm>
          <a:off x="10784541" y="430306"/>
          <a:ext cx="1753012" cy="380999"/>
        </a:xfrm>
        <a:prstGeom prst="rect">
          <a:avLst/>
        </a:prstGeom>
        <a:ln>
          <a:prstDash val="solid"/>
        </a:ln>
      </xdr:spPr>
    </xdr:pic>
    <xdr:clientData/>
  </xdr:twoCellAnchor>
</xdr:wsDr>
</file>

<file path=xl/drawings/drawing11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00000000-0008-0000-A600-000002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00000000-0008-0000-A600-000003000000}"/>
            </a:ext>
          </a:extLst>
        </xdr:cNvPr>
        <xdr:cNvPicPr>
          <a:picLocks noChangeAspect="1"/>
        </xdr:cNvPicPr>
      </xdr:nvPicPr>
      <xdr:blipFill>
        <a:blip xmlns:r="http://schemas.openxmlformats.org/officeDocument/2006/relationships" r:embed="rId1" cstate="print"/>
        <a:stretch>
          <a:fillRect/>
        </a:stretch>
      </xdr:blipFill>
      <xdr:spPr>
        <a:xfrm>
          <a:off x="15443835" y="438150"/>
          <a:ext cx="1751107" cy="384809"/>
        </a:xfrm>
        <a:prstGeom prst="rect">
          <a:avLst/>
        </a:prstGeom>
        <a:ln>
          <a:prstDash val="solid"/>
        </a:ln>
      </xdr:spPr>
    </xdr:pic>
    <xdr:clientData/>
  </xdr:twoCellAnchor>
</xdr:wsDr>
</file>

<file path=xl/drawings/drawing11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60959</xdr:rowOff>
    </xdr:to>
    <xdr:pic>
      <xdr:nvPicPr>
        <xdr:cNvPr id="2" name="Picture 1">
          <a:extLst>
            <a:ext uri="{FF2B5EF4-FFF2-40B4-BE49-F238E27FC236}">
              <a16:creationId xmlns:a16="http://schemas.microsoft.com/office/drawing/2014/main" id="{00000000-0008-0000-A700-000002000000}"/>
            </a:ext>
          </a:extLst>
        </xdr:cNvPr>
        <xdr:cNvPicPr>
          <a:picLocks noChangeAspect="1"/>
        </xdr:cNvPicPr>
      </xdr:nvPicPr>
      <xdr:blipFill>
        <a:blip xmlns:r="http://schemas.openxmlformats.org/officeDocument/2006/relationships" r:embed="rId1" cstate="print"/>
        <a:stretch>
          <a:fillRect/>
        </a:stretch>
      </xdr:blipFill>
      <xdr:spPr>
        <a:xfrm>
          <a:off x="14935200" y="438150"/>
          <a:ext cx="1724437" cy="380999"/>
        </a:xfrm>
        <a:prstGeom prst="rect">
          <a:avLst/>
        </a:prstGeom>
        <a:ln>
          <a:prstDash val="solid"/>
        </a:ln>
      </xdr:spPr>
    </xdr:pic>
    <xdr:clientData/>
  </xdr:twoCellAnchor>
</xdr:wsDr>
</file>

<file path=xl/drawings/drawing116.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A800-000003000000}"/>
            </a:ext>
          </a:extLst>
        </xdr:cNvPr>
        <xdr:cNvPicPr>
          <a:picLocks noChangeAspect="1"/>
        </xdr:cNvPicPr>
      </xdr:nvPicPr>
      <xdr:blipFill>
        <a:blip xmlns:r="http://schemas.openxmlformats.org/officeDocument/2006/relationships" r:embed="rId1" cstate="print"/>
        <a:stretch>
          <a:fillRect/>
        </a:stretch>
      </xdr:blipFill>
      <xdr:spPr>
        <a:xfrm>
          <a:off x="15211425" y="438150"/>
          <a:ext cx="1753012" cy="380999"/>
        </a:xfrm>
        <a:prstGeom prst="rect">
          <a:avLst/>
        </a:prstGeom>
        <a:ln>
          <a:prstDash val="solid"/>
        </a:ln>
      </xdr:spPr>
    </xdr:pic>
    <xdr:clientData/>
  </xdr:twoCellAnchor>
</xdr:wsDr>
</file>

<file path=xl/externalLinks/_rels/externalLink1.xml.rels><?xml version="1.0" encoding="UTF-8" standalone="yes"?>
<Relationships xmlns="http://schemas.openxmlformats.org/package/2006/relationships"><Relationship Id="rId1" Type="http://schemas.microsoft.com/office/2006/relationships/xlExternalLinkPath/xlPathMissing" Target="CANOPY%20(9)"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FIRE%20SUPPRESSION%20(9)"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CANOPY%20(10)"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CANOPY%20(11)"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CANOPY%20(12)"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CANOPY%20(13)" TargetMode="External"/></Relationships>
</file>

<file path=xl/externalLinks/_rels/externalLink7.xml.rels><?xml version="1.0" encoding="UTF-8" standalone="yes"?>
<Relationships xmlns="http://schemas.openxmlformats.org/package/2006/relationships"><Relationship Id="rId1" Type="http://schemas.microsoft.com/office/2006/relationships/xlExternalLinkPath/xlPathMissing" Target="CANOPY%20(14)" TargetMode="External"/></Relationships>
</file>

<file path=xl/externalLinks/_rels/externalLink8.xml.rels><?xml version="1.0" encoding="UTF-8" standalone="yes"?>
<Relationships xmlns="http://schemas.openxmlformats.org/package/2006/relationships"><Relationship Id="rId1" Type="http://schemas.microsoft.com/office/2006/relationships/xlExternalLinkPath/xlPathMissing" Target="CANOPY%20(15)"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CANOPY%20(16)"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CANOPY%20(5)" TargetMode="External"/></Relationships>
</file>

<file path=xl/externalLinks/_rels/externalLink11.xml.rels><?xml version="1.0" encoding="UTF-8" standalone="yes"?>
<Relationships xmlns="http://schemas.openxmlformats.org/package/2006/relationships"><Relationship Id="rId1" Type="http://schemas.microsoft.com/office/2006/relationships/xlExternalLinkPath/xlPathMissing" Target="CANOPY%20(6)" TargetMode="External"/></Relationships>
</file>

<file path=xl/externalLinks/_rels/externalLink12.xml.rels><?xml version="1.0" encoding="UTF-8" standalone="yes"?>
<Relationships xmlns="http://schemas.openxmlformats.org/package/2006/relationships"><Relationship Id="rId1" Type="http://schemas.microsoft.com/office/2006/relationships/xlExternalLinkPath/xlPathMissing" Target="CANOPY%20(7)" TargetMode="External"/></Relationships>
</file>

<file path=xl/externalLinks/_rels/externalLink13.xml.rels><?xml version="1.0" encoding="UTF-8" standalone="yes"?>
<Relationships xmlns="http://schemas.openxmlformats.org/package/2006/relationships"><Relationship Id="rId1" Type="http://schemas.microsoft.com/office/2006/relationships/xlExternalLinkPath/xlPathMissing" Target="CANOPY%20(8)" TargetMode="External"/></Relationships>
</file>

<file path=xl/externalLinks/_rels/externalLink14.xml.rels><?xml version="1.0" encoding="UTF-8" standalone="yes"?>
<Relationships xmlns="http://schemas.openxmlformats.org/package/2006/relationships"><Relationship Id="rId1" Type="http://schemas.microsoft.com/office/2006/relationships/xlExternalLinkPath/xlPathMissing" Target="CANOPY%20(3)" TargetMode="External"/></Relationships>
</file>

<file path=xl/externalLinks/_rels/externalLink15.xml.rels><?xml version="1.0" encoding="UTF-8" standalone="yes"?>
<Relationships xmlns="http://schemas.openxmlformats.org/package/2006/relationships"><Relationship Id="rId1" Type="http://schemas.microsoft.com/office/2006/relationships/xlExternalLinkPath/xlPathMissing" Target="CANOPY%20(4)" TargetMode="External"/></Relationships>
</file>

<file path=xl/externalLinks/_rels/externalLink16.xml.rels><?xml version="1.0" encoding="UTF-8" standalone="yes"?>
<Relationships xmlns="http://schemas.openxmlformats.org/package/2006/relationships"><Relationship Id="rId1" Type="http://schemas.microsoft.com/office/2006/relationships/xlExternalLinkPath/xlPathMissing" Target="CANOPY%20(2)" TargetMode="External"/></Relationships>
</file>

<file path=xl/externalLinks/_rels/externalLink17.xml.rels><?xml version="1.0" encoding="UTF-8" standalone="yes"?>
<Relationships xmlns="http://schemas.openxmlformats.org/package/2006/relationships"><Relationship Id="rId1" Type="http://schemas.microsoft.com/office/2006/relationships/xlExternalLinkPath/xlPathMissing" Target="CANOPY"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9)"/>
    </sheet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IRE SUPPRESSION (9)"/>
    </sheet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0)"/>
    </sheet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2)"/>
    </sheet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3)"/>
    </sheetNames>
    <sheetDataSet>
      <sheetData sheetId="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4)"/>
    </sheetNames>
    <sheetDataSet>
      <sheetData sheetId="0"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5)"/>
    </sheetNames>
    <sheetDataSet>
      <sheetData sheetId="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16)"/>
    </sheetNames>
    <sheetDataSet>
      <sheetData sheetId="0"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5)"/>
    </sheetNames>
    <sheetDataSet>
      <sheetData sheetId="0"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6)"/>
    </sheetNames>
    <sheetDataSet>
      <sheetData sheetId="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7)"/>
    </sheetNames>
    <sheetDataSet>
      <sheetData sheetId="0"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8)"/>
    </sheetNames>
    <sheetDataSet>
      <sheetData sheetId="0"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3)"/>
    </sheetNames>
    <sheetDataSet>
      <sheetData sheetId="0"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4)"/>
    </sheetNames>
    <sheetDataSet>
      <sheetData sheetId="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2)"/>
    </sheetNames>
    <sheetDataSet>
      <sheetData sheetId="0"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ANOPY"/>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145.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46.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47.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51.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52.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53.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54.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55.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56.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57.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62.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63.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64.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65.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66.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67.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68.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69.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70.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opLeftCell="I1" zoomScale="80" zoomScaleNormal="80" zoomScaleSheetLayoutView="50" workbookViewId="0">
      <selection activeCell="G187" sqref="G187"/>
    </sheetView>
  </sheetViews>
  <sheetFormatPr baseColWidth="10" defaultColWidth="8.83203125" defaultRowHeight="15" customHeight="1" x14ac:dyDescent="0.15"/>
  <cols>
    <col min="1" max="1" width="2" style="150" customWidth="1"/>
    <col min="2" max="2" width="30.33203125" style="152" customWidth="1"/>
    <col min="3" max="3" width="25.83203125" style="152" bestFit="1" customWidth="1"/>
    <col min="4" max="4" width="20.5" style="152" customWidth="1"/>
    <col min="5" max="5" width="5" style="152" customWidth="1"/>
    <col min="6" max="6" width="18.83203125" style="152" customWidth="1"/>
    <col min="7" max="7" width="12.1640625" style="152" customWidth="1"/>
    <col min="8" max="8" width="7.6640625" style="168" customWidth="1"/>
    <col min="9" max="9" width="11.6640625" style="168" customWidth="1"/>
    <col min="10" max="10" width="6.33203125" style="267" customWidth="1"/>
    <col min="11" max="11" width="17.5" style="163" customWidth="1"/>
    <col min="12" max="12" width="5.6640625" style="163" bestFit="1" customWidth="1"/>
    <col min="13" max="13" width="4.5" style="265" bestFit="1" customWidth="1"/>
    <col min="14" max="14" width="14.5" style="267" bestFit="1" customWidth="1"/>
    <col min="15" max="15" width="13.6640625" style="14" bestFit="1" customWidth="1"/>
    <col min="16" max="17" width="8.83203125" style="152" customWidth="1"/>
    <col min="18" max="18" width="18.6640625" style="152" customWidth="1"/>
    <col min="19" max="19" width="15.5" style="152" customWidth="1"/>
    <col min="20" max="20" width="14.5" style="152" customWidth="1"/>
    <col min="21" max="21" width="10.33203125" style="152" customWidth="1"/>
    <col min="22"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B1" s="26" t="s">
        <v>0</v>
      </c>
      <c r="C1" s="151"/>
      <c r="D1" s="151"/>
      <c r="E1" s="151"/>
      <c r="F1" s="151"/>
      <c r="G1" s="151"/>
      <c r="H1" s="29"/>
      <c r="I1" s="29"/>
      <c r="J1" s="255"/>
      <c r="K1" s="256"/>
      <c r="L1" s="257"/>
      <c r="M1" s="258"/>
      <c r="N1" s="255"/>
      <c r="O1" s="235"/>
      <c r="S1" s="75"/>
      <c r="T1" s="153"/>
    </row>
    <row r="2" spans="1:28" ht="15" customHeight="1" x14ac:dyDescent="0.15">
      <c r="B2" s="74"/>
      <c r="C2" s="156"/>
      <c r="D2" s="156"/>
      <c r="F2" s="74"/>
      <c r="G2" s="72"/>
      <c r="H2" s="157"/>
      <c r="I2" s="157"/>
      <c r="J2" s="259"/>
      <c r="K2" s="260"/>
      <c r="L2" s="261"/>
      <c r="M2" s="262"/>
      <c r="N2" s="263" t="s">
        <v>1</v>
      </c>
      <c r="T2" s="160"/>
      <c r="Y2" s="161"/>
    </row>
    <row r="3" spans="1:28" ht="15" customHeight="1" x14ac:dyDescent="0.15">
      <c r="B3" s="73" t="s">
        <v>2</v>
      </c>
      <c r="C3" s="938" t="s">
        <v>3</v>
      </c>
      <c r="D3" s="934"/>
      <c r="F3" s="71" t="s">
        <v>4</v>
      </c>
      <c r="G3" s="935" t="s">
        <v>5</v>
      </c>
      <c r="H3" s="936"/>
      <c r="I3" s="936"/>
      <c r="J3" s="937"/>
      <c r="L3" s="261"/>
      <c r="M3" s="262"/>
      <c r="N3" s="263"/>
      <c r="T3" s="160"/>
    </row>
    <row r="4" spans="1:28" ht="15" customHeight="1" x14ac:dyDescent="0.15">
      <c r="B4" s="74"/>
      <c r="C4" s="158"/>
      <c r="D4" s="158"/>
      <c r="F4" s="72"/>
      <c r="G4" s="157"/>
      <c r="H4" s="162"/>
      <c r="I4" s="162"/>
      <c r="J4" s="260"/>
      <c r="L4" s="261"/>
      <c r="M4" s="262"/>
      <c r="N4" s="263"/>
      <c r="T4" s="160"/>
    </row>
    <row r="5" spans="1:28" ht="15" customHeight="1" x14ac:dyDescent="0.15">
      <c r="B5" s="73" t="s">
        <v>6</v>
      </c>
      <c r="C5" s="938" t="s">
        <v>7</v>
      </c>
      <c r="D5" s="934"/>
      <c r="F5" s="71" t="s">
        <v>8</v>
      </c>
      <c r="G5" s="935" t="s">
        <v>9</v>
      </c>
      <c r="H5" s="936"/>
      <c r="I5" s="936"/>
      <c r="J5" s="937"/>
      <c r="M5" s="262"/>
      <c r="N5" s="263"/>
      <c r="Q5" s="164"/>
      <c r="R5" s="164"/>
      <c r="T5" s="160"/>
      <c r="U5" s="161"/>
    </row>
    <row r="6" spans="1:28" ht="15" customHeight="1" x14ac:dyDescent="0.15">
      <c r="B6" s="73"/>
      <c r="C6" s="165"/>
      <c r="D6" s="165"/>
      <c r="F6" s="71"/>
      <c r="G6" s="157"/>
      <c r="H6" s="74"/>
      <c r="I6" s="74"/>
      <c r="J6" s="264"/>
      <c r="L6" s="261"/>
      <c r="M6" s="262"/>
      <c r="N6" s="263"/>
      <c r="Q6" s="164"/>
      <c r="R6" s="164"/>
      <c r="T6" s="160"/>
      <c r="U6" s="161"/>
      <c r="AA6" s="166"/>
    </row>
    <row r="7" spans="1:28" ht="15" customHeight="1" x14ac:dyDescent="0.15">
      <c r="B7" s="75" t="s">
        <v>10</v>
      </c>
      <c r="C7" s="933" t="s">
        <v>11</v>
      </c>
      <c r="D7" s="934"/>
      <c r="F7" s="71" t="s">
        <v>12</v>
      </c>
      <c r="G7" s="939" t="s">
        <v>13</v>
      </c>
      <c r="H7" s="936"/>
      <c r="I7" s="936"/>
      <c r="J7" s="937"/>
      <c r="N7" s="266" t="s">
        <v>14</v>
      </c>
      <c r="O7" s="484"/>
      <c r="P7" s="167"/>
      <c r="R7" s="159"/>
      <c r="T7" s="160"/>
      <c r="U7" s="161"/>
      <c r="AA7" s="166"/>
    </row>
    <row r="8" spans="1:28" ht="15" customHeight="1" x14ac:dyDescent="0.15">
      <c r="D8" s="154"/>
      <c r="E8" s="154"/>
      <c r="G8" s="154"/>
      <c r="J8" s="265"/>
      <c r="K8" s="14"/>
      <c r="T8" s="160"/>
      <c r="AA8" s="166"/>
    </row>
    <row r="9" spans="1:28" s="75" customFormat="1" ht="15" customHeight="1" x14ac:dyDescent="0.15">
      <c r="A9" s="150"/>
      <c r="B9" s="38" t="s">
        <v>15</v>
      </c>
      <c r="C9" s="292">
        <v>0</v>
      </c>
      <c r="D9" s="294">
        <f>IF(C9=0,0,(SUBTOTAL(9,M14:M27)/(1-C9))-M9)</f>
        <v>0</v>
      </c>
      <c r="H9" s="169"/>
      <c r="Q9" s="152"/>
      <c r="R9" s="152"/>
      <c r="S9" s="152"/>
      <c r="T9" s="152"/>
      <c r="U9" s="152"/>
      <c r="V9" s="152"/>
      <c r="Z9" s="152"/>
      <c r="AA9" s="152"/>
      <c r="AB9" s="152"/>
    </row>
    <row r="10" spans="1:28" s="75" customFormat="1" ht="15" customHeight="1" x14ac:dyDescent="0.15">
      <c r="A10" s="150"/>
      <c r="B10" s="6" t="s">
        <v>15</v>
      </c>
      <c r="C10" s="6" t="s">
        <v>16</v>
      </c>
      <c r="D10" s="6" t="s">
        <v>17</v>
      </c>
      <c r="E10" s="6"/>
      <c r="F10" s="6"/>
      <c r="G10" s="6"/>
      <c r="H10" s="6"/>
      <c r="I10" s="37"/>
      <c r="J10" s="1"/>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9"/>
      <c r="C11" s="9"/>
      <c r="D11" s="9"/>
      <c r="E11" s="9"/>
      <c r="F11" s="9"/>
      <c r="G11" s="34" t="s">
        <v>23</v>
      </c>
      <c r="H11" s="9"/>
      <c r="I11" s="34">
        <f>IF(ISNUMBER(SEARCH("UV",D14)),49.7,71.75)</f>
        <v>71.75</v>
      </c>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76"/>
      <c r="C12" s="176"/>
      <c r="D12" s="176"/>
      <c r="E12" s="176"/>
      <c r="F12" s="176"/>
      <c r="G12" s="176"/>
      <c r="H12" s="176"/>
      <c r="I12" s="176"/>
      <c r="J12" s="176"/>
      <c r="K12" s="123">
        <f>SUBTOTAL(9,K14:K26)</f>
        <v>0</v>
      </c>
      <c r="L12" s="15" t="str">
        <f>IF(O12=0,"-",O12/M12)</f>
        <v>-</v>
      </c>
      <c r="M12" s="123">
        <f>SUBTOTAL(9,M14:M26)</f>
        <v>0</v>
      </c>
      <c r="N12" s="381">
        <f>SUM(N14:N26)</f>
        <v>0</v>
      </c>
      <c r="O12" s="123">
        <f>SUM(O14:O26)</f>
        <v>0</v>
      </c>
      <c r="P12" s="152"/>
      <c r="Q12" s="152"/>
      <c r="R12" s="152"/>
      <c r="S12" s="152"/>
      <c r="T12" s="152"/>
      <c r="U12" s="170"/>
      <c r="V12" s="152"/>
      <c r="Z12" s="152"/>
      <c r="AA12" s="152"/>
      <c r="AB12" s="152"/>
    </row>
    <row r="13" spans="1:28" ht="15" customHeight="1" x14ac:dyDescent="0.15">
      <c r="B13" s="7"/>
      <c r="C13" s="7"/>
      <c r="D13" s="7"/>
      <c r="E13" s="7"/>
      <c r="F13" s="7"/>
      <c r="G13" s="7"/>
      <c r="H13" s="7"/>
      <c r="I13" s="7"/>
      <c r="J13" s="7"/>
      <c r="K13" s="269"/>
      <c r="L13" s="269"/>
      <c r="M13" s="270"/>
      <c r="N13" s="271"/>
      <c r="O13" s="5"/>
      <c r="U13" s="164"/>
      <c r="AA13" s="152"/>
    </row>
    <row r="14" spans="1:28" ht="15" customHeight="1" x14ac:dyDescent="0.15">
      <c r="B14" s="28" t="s">
        <v>24</v>
      </c>
      <c r="C14" s="28"/>
      <c r="D14" s="28"/>
      <c r="E14" s="28"/>
      <c r="F14" s="28"/>
      <c r="G14" s="28"/>
      <c r="H14" s="28"/>
      <c r="I14" s="28"/>
      <c r="J14" s="28"/>
      <c r="K14" s="295"/>
      <c r="L14" s="309"/>
      <c r="M14" s="234"/>
      <c r="N14" s="295"/>
      <c r="O14" s="296"/>
      <c r="R14" s="849" t="s">
        <v>25</v>
      </c>
      <c r="S14" s="849" t="s">
        <v>26</v>
      </c>
      <c r="T14" s="849" t="s">
        <v>20</v>
      </c>
      <c r="U14" s="850" t="s">
        <v>19</v>
      </c>
      <c r="AA14" s="152"/>
    </row>
    <row r="15" spans="1:28" ht="15" customHeight="1" x14ac:dyDescent="0.15">
      <c r="B15" s="28" t="s">
        <v>27</v>
      </c>
      <c r="C15" s="28"/>
      <c r="D15" s="28"/>
      <c r="E15" s="28"/>
      <c r="F15" s="28"/>
      <c r="G15" s="28"/>
      <c r="H15" s="28"/>
      <c r="I15" s="28"/>
      <c r="J15" s="28"/>
      <c r="K15" s="295"/>
      <c r="L15" s="309"/>
      <c r="M15" s="234"/>
      <c r="N15" s="295"/>
      <c r="O15" s="295"/>
      <c r="S15" s="851"/>
      <c r="T15" s="851"/>
      <c r="U15" s="852"/>
      <c r="AA15" s="152"/>
    </row>
    <row r="16" spans="1:28" ht="15" customHeight="1" x14ac:dyDescent="0.15">
      <c r="B16" s="28" t="s">
        <v>28</v>
      </c>
      <c r="C16" s="28"/>
      <c r="D16" s="28"/>
      <c r="E16" s="28"/>
      <c r="F16" s="28"/>
      <c r="G16" s="28"/>
      <c r="H16" s="28"/>
      <c r="I16" s="28"/>
      <c r="J16" s="28"/>
      <c r="K16" s="295"/>
      <c r="L16" s="309"/>
      <c r="M16" s="234"/>
      <c r="N16" s="295"/>
      <c r="O16" s="296"/>
      <c r="R16" s="152" t="s">
        <v>29</v>
      </c>
      <c r="S16" s="851">
        <f>PRICING_SUMMARY!D7</f>
        <v>5775.3603498999992</v>
      </c>
      <c r="T16" s="851">
        <f>PRICING_SUMMARY!C7</f>
        <v>9733.3138645235376</v>
      </c>
      <c r="U16" s="852">
        <f t="shared" ref="U16:U25" si="0">IFERROR((T16-S16)/T16, "")</f>
        <v>0.4066398730908784</v>
      </c>
      <c r="AA16" s="152"/>
    </row>
    <row r="17" spans="2:27" ht="15" customHeight="1" x14ac:dyDescent="0.15">
      <c r="B17" s="28" t="s">
        <v>30</v>
      </c>
      <c r="C17" s="28"/>
      <c r="D17" s="28"/>
      <c r="E17" s="28"/>
      <c r="F17" s="28"/>
      <c r="G17" s="28"/>
      <c r="H17" s="28"/>
      <c r="I17" s="28"/>
      <c r="J17" s="28"/>
      <c r="K17" s="295"/>
      <c r="L17" s="309"/>
      <c r="M17" s="234"/>
      <c r="N17" s="295"/>
      <c r="O17" s="296"/>
      <c r="R17" s="152" t="s">
        <v>31</v>
      </c>
      <c r="S17" s="851">
        <f>PRICING_SUMMARY!D8</f>
        <v>5537.3</v>
      </c>
      <c r="T17" s="851">
        <f>PRICING_SUMMARY!C8</f>
        <v>7933.8799081515499</v>
      </c>
      <c r="U17" s="852">
        <f t="shared" si="0"/>
        <v>0.30206909304099983</v>
      </c>
      <c r="AA17" s="152"/>
    </row>
    <row r="18" spans="2:27" ht="15" customHeight="1" x14ac:dyDescent="0.15">
      <c r="B18" s="28" t="s">
        <v>32</v>
      </c>
      <c r="C18" s="28"/>
      <c r="D18" s="28"/>
      <c r="E18" s="28"/>
      <c r="F18" s="28"/>
      <c r="G18" s="28"/>
      <c r="H18" s="28"/>
      <c r="I18" s="28"/>
      <c r="J18" s="28"/>
      <c r="K18" s="295"/>
      <c r="L18" s="309"/>
      <c r="M18" s="234"/>
      <c r="N18" s="295"/>
      <c r="O18" s="296"/>
      <c r="R18" s="152" t="s">
        <v>33</v>
      </c>
      <c r="S18" s="851">
        <f>PRICING_SUMMARY!D10</f>
        <v>0</v>
      </c>
      <c r="T18" s="851">
        <f>PRICING_SUMMARY!C10</f>
        <v>0</v>
      </c>
      <c r="U18" s="852" t="str">
        <f t="shared" si="0"/>
        <v/>
      </c>
      <c r="AA18" s="152"/>
    </row>
    <row r="19" spans="2:27" ht="15" customHeight="1" x14ac:dyDescent="0.15">
      <c r="B19" s="28" t="s">
        <v>34</v>
      </c>
      <c r="C19" s="28"/>
      <c r="D19" s="28"/>
      <c r="E19" s="28"/>
      <c r="F19" s="28"/>
      <c r="G19" s="28"/>
      <c r="H19" s="28"/>
      <c r="I19" s="28"/>
      <c r="J19" s="28"/>
      <c r="K19" s="295"/>
      <c r="L19" s="309"/>
      <c r="M19" s="234"/>
      <c r="N19" s="295"/>
      <c r="O19" s="296"/>
      <c r="R19" s="152" t="s">
        <v>35</v>
      </c>
      <c r="S19" s="159">
        <f>PRICING_SUMMARY!D13</f>
        <v>0</v>
      </c>
      <c r="T19" s="159">
        <f>PRICING_SUMMARY!C13</f>
        <v>0</v>
      </c>
      <c r="U19" s="852" t="str">
        <f t="shared" si="0"/>
        <v/>
      </c>
      <c r="AA19" s="152"/>
    </row>
    <row r="20" spans="2:27" ht="15" customHeight="1" x14ac:dyDescent="0.15">
      <c r="B20" s="28" t="s">
        <v>36</v>
      </c>
      <c r="C20" s="28"/>
      <c r="D20" s="28"/>
      <c r="E20" s="28"/>
      <c r="F20" s="28"/>
      <c r="G20" s="28"/>
      <c r="H20" s="28"/>
      <c r="I20" s="28"/>
      <c r="J20" s="28"/>
      <c r="K20" s="295"/>
      <c r="L20" s="309"/>
      <c r="M20" s="234"/>
      <c r="N20" s="295"/>
      <c r="O20" s="296"/>
      <c r="R20" s="152" t="s">
        <v>37</v>
      </c>
      <c r="S20" s="851">
        <f>PRICING_SUMMARY!D12</f>
        <v>0</v>
      </c>
      <c r="T20" s="851">
        <f>PRICING_SUMMARY!C12</f>
        <v>0</v>
      </c>
      <c r="U20" s="852" t="str">
        <f t="shared" si="0"/>
        <v/>
      </c>
      <c r="AA20" s="152"/>
    </row>
    <row r="21" spans="2:27" ht="15" customHeight="1" x14ac:dyDescent="0.15">
      <c r="B21" s="28" t="s">
        <v>38</v>
      </c>
      <c r="C21" s="28"/>
      <c r="D21" s="28"/>
      <c r="E21" s="28"/>
      <c r="F21" s="28"/>
      <c r="G21" s="28"/>
      <c r="H21" s="28"/>
      <c r="I21" s="28"/>
      <c r="J21" s="28"/>
      <c r="K21" s="295"/>
      <c r="L21" s="309"/>
      <c r="M21" s="234"/>
      <c r="N21" s="295"/>
      <c r="O21" s="296"/>
      <c r="R21" s="152" t="s">
        <v>39</v>
      </c>
      <c r="S21" s="851">
        <f>PRICING_SUMMARY!D9</f>
        <v>0</v>
      </c>
      <c r="T21" s="851">
        <f>PRICING_SUMMARY!C9</f>
        <v>0</v>
      </c>
      <c r="U21" s="852" t="str">
        <f t="shared" si="0"/>
        <v/>
      </c>
      <c r="AA21" s="152"/>
    </row>
    <row r="22" spans="2:27" ht="15" customHeight="1" x14ac:dyDescent="0.15">
      <c r="B22" s="28" t="s">
        <v>40</v>
      </c>
      <c r="C22" s="28"/>
      <c r="D22" s="28"/>
      <c r="E22" s="28"/>
      <c r="F22" s="28"/>
      <c r="G22" s="28"/>
      <c r="H22" s="28"/>
      <c r="I22" s="28"/>
      <c r="J22" s="28"/>
      <c r="K22" s="295"/>
      <c r="L22" s="309"/>
      <c r="M22" s="234"/>
      <c r="N22" s="295"/>
      <c r="O22" s="296"/>
      <c r="R22" s="152" t="s">
        <v>41</v>
      </c>
      <c r="S22" s="851">
        <f>PRICING_SUMMARY!D13</f>
        <v>0</v>
      </c>
      <c r="T22" s="851">
        <f>PRICING_SUMMARY!C13</f>
        <v>0</v>
      </c>
      <c r="U22" s="852" t="str">
        <f t="shared" si="0"/>
        <v/>
      </c>
      <c r="AA22" s="152"/>
    </row>
    <row r="23" spans="2:27" ht="15" customHeight="1" x14ac:dyDescent="0.15">
      <c r="B23" s="28" t="s">
        <v>40</v>
      </c>
      <c r="C23" s="28"/>
      <c r="D23" s="28"/>
      <c r="E23" s="28"/>
      <c r="F23" s="28"/>
      <c r="G23" s="28"/>
      <c r="H23" s="28"/>
      <c r="I23" s="28"/>
      <c r="J23" s="28"/>
      <c r="K23" s="295"/>
      <c r="L23" s="309"/>
      <c r="M23" s="234"/>
      <c r="N23" s="295"/>
      <c r="O23" s="296"/>
      <c r="R23" s="152" t="s">
        <v>42</v>
      </c>
      <c r="S23" s="851">
        <f>PRICING_SUMMARY!D13</f>
        <v>0</v>
      </c>
      <c r="T23" s="851">
        <f>PRICING_SUMMARY!C13</f>
        <v>0</v>
      </c>
      <c r="U23" s="852" t="str">
        <f t="shared" si="0"/>
        <v/>
      </c>
      <c r="AA23" s="152"/>
    </row>
    <row r="24" spans="2:27" ht="15" customHeight="1" x14ac:dyDescent="0.15">
      <c r="B24" s="28" t="s">
        <v>40</v>
      </c>
      <c r="C24" s="28"/>
      <c r="D24" s="28"/>
      <c r="E24" s="28"/>
      <c r="F24" s="28"/>
      <c r="G24" s="28"/>
      <c r="H24" s="28"/>
      <c r="I24" s="28"/>
      <c r="J24" s="28"/>
      <c r="K24" s="295"/>
      <c r="L24" s="309"/>
      <c r="M24" s="234"/>
      <c r="N24" s="295"/>
      <c r="O24" s="296"/>
      <c r="R24" s="152" t="s">
        <v>43</v>
      </c>
      <c r="S24" s="851">
        <f>PRICING_SUMMARY!D11</f>
        <v>0</v>
      </c>
      <c r="T24" s="851">
        <f>PRICING_SUMMARY!C11</f>
        <v>0</v>
      </c>
      <c r="U24" s="852" t="str">
        <f t="shared" si="0"/>
        <v/>
      </c>
      <c r="AA24" s="152"/>
    </row>
    <row r="25" spans="2:27" ht="15" customHeight="1" x14ac:dyDescent="0.15">
      <c r="B25" s="28" t="s">
        <v>40</v>
      </c>
      <c r="C25" s="28"/>
      <c r="D25" s="28"/>
      <c r="E25" s="28"/>
      <c r="F25" s="28"/>
      <c r="G25" s="28"/>
      <c r="H25" s="28"/>
      <c r="I25" s="28"/>
      <c r="J25" s="28"/>
      <c r="K25" s="295"/>
      <c r="L25" s="309"/>
      <c r="M25" s="234"/>
      <c r="N25" s="295"/>
      <c r="O25" s="296"/>
      <c r="R25" s="152" t="s">
        <v>44</v>
      </c>
      <c r="S25" s="851">
        <f>PRICING_SUMMARY!D13</f>
        <v>0</v>
      </c>
      <c r="T25" s="851">
        <f>PRICING_SUMMARY!C13</f>
        <v>0</v>
      </c>
      <c r="U25" s="852" t="str">
        <f t="shared" si="0"/>
        <v/>
      </c>
      <c r="AA25" s="152"/>
    </row>
    <row r="26" spans="2:27" ht="15" customHeight="1" x14ac:dyDescent="0.15">
      <c r="B26" s="28" t="s">
        <v>40</v>
      </c>
      <c r="C26" s="28"/>
      <c r="D26" s="28"/>
      <c r="E26" s="28"/>
      <c r="F26" s="28"/>
      <c r="G26" s="28"/>
      <c r="H26" s="28"/>
      <c r="I26" s="28"/>
      <c r="J26" s="28"/>
      <c r="K26" s="295"/>
      <c r="L26" s="309"/>
      <c r="M26" s="234"/>
      <c r="N26" s="295"/>
      <c r="O26" s="296"/>
      <c r="U26" s="852"/>
      <c r="AA26" s="152"/>
    </row>
    <row r="27" spans="2:27" ht="15" customHeight="1" x14ac:dyDescent="0.15">
      <c r="G27" s="34" t="s">
        <v>23</v>
      </c>
      <c r="I27" s="34">
        <f>IF(ISNUMBER(SEARCH("UV",#REF!)),49.7,71.75)</f>
        <v>71.75</v>
      </c>
      <c r="U27" s="852"/>
    </row>
    <row r="28" spans="2:27" ht="15" customHeight="1" x14ac:dyDescent="0.15">
      <c r="B28" s="174"/>
      <c r="C28" s="174"/>
      <c r="D28" s="174"/>
      <c r="E28" s="174"/>
      <c r="F28" s="174"/>
      <c r="G28" s="178"/>
      <c r="H28" s="179"/>
      <c r="I28" s="179"/>
      <c r="J28" s="273"/>
      <c r="K28" s="272"/>
      <c r="L28" s="274"/>
      <c r="M28" s="272"/>
      <c r="N28" s="272"/>
      <c r="R28" s="152" t="s">
        <v>45</v>
      </c>
      <c r="S28" s="851">
        <f>SUM(S16:S27)</f>
        <v>11312.660349899999</v>
      </c>
      <c r="T28" s="851">
        <f>SUM(T16:T27)</f>
        <v>17667.193772675088</v>
      </c>
      <c r="U28" s="852">
        <f>(T28-S28)/T28</f>
        <v>0.35967983962474609</v>
      </c>
    </row>
    <row r="29" spans="2:27" ht="15" customHeight="1" x14ac:dyDescent="0.2">
      <c r="B29" s="139" t="s">
        <v>46</v>
      </c>
      <c r="C29" s="140"/>
      <c r="D29" s="141"/>
      <c r="E29" s="141"/>
      <c r="F29" s="140"/>
      <c r="G29" s="142"/>
      <c r="H29" s="140"/>
      <c r="I29" s="140"/>
      <c r="J29" s="140"/>
      <c r="K29" s="140"/>
      <c r="L29" s="140"/>
      <c r="M29" s="140"/>
      <c r="N29" s="140"/>
      <c r="O29" s="140"/>
      <c r="U29" s="164"/>
    </row>
    <row r="30" spans="2:27" ht="15" customHeight="1" x14ac:dyDescent="0.2">
      <c r="B30" s="143"/>
      <c r="C30" s="144"/>
      <c r="D30" s="143"/>
      <c r="E30" s="145"/>
      <c r="F30" s="143"/>
      <c r="G30" s="149"/>
      <c r="H30" s="144"/>
      <c r="I30" s="144"/>
      <c r="J30" s="144"/>
      <c r="K30" s="146"/>
      <c r="L30" s="146"/>
      <c r="M30" s="146"/>
      <c r="N30" s="146"/>
      <c r="O30" s="146"/>
      <c r="U30" s="164"/>
    </row>
    <row r="31" spans="2:27" ht="15" customHeight="1" x14ac:dyDescent="0.2">
      <c r="B31" s="143"/>
      <c r="C31" s="144"/>
      <c r="D31" s="143"/>
      <c r="E31" s="145"/>
      <c r="F31" s="143"/>
      <c r="G31" s="149"/>
      <c r="H31" s="144"/>
      <c r="I31" s="144"/>
      <c r="J31" s="144"/>
      <c r="K31" s="146"/>
      <c r="L31" s="146"/>
      <c r="M31" s="146"/>
      <c r="N31" s="146"/>
      <c r="O31" s="146"/>
      <c r="U31" s="164"/>
    </row>
    <row r="32" spans="2:27" ht="15" customHeight="1" x14ac:dyDescent="0.2">
      <c r="B32" s="143"/>
      <c r="C32" s="144"/>
      <c r="D32" s="143"/>
      <c r="E32" s="145"/>
      <c r="F32" s="143"/>
      <c r="G32" s="149"/>
      <c r="H32" s="144"/>
      <c r="I32" s="144"/>
      <c r="J32" s="144"/>
      <c r="K32" s="149"/>
      <c r="L32" s="149"/>
      <c r="M32" s="149"/>
      <c r="N32" s="149"/>
      <c r="O32" s="149"/>
      <c r="U32" s="164"/>
    </row>
    <row r="33" spans="2:21" ht="15" customHeight="1" x14ac:dyDescent="0.2">
      <c r="B33" s="143"/>
      <c r="C33" s="144"/>
      <c r="D33" s="143"/>
      <c r="E33" s="145"/>
      <c r="F33" s="143"/>
      <c r="G33" s="149"/>
      <c r="H33" s="147"/>
      <c r="I33" s="144"/>
      <c r="J33" s="144"/>
      <c r="K33" s="149"/>
      <c r="L33" s="149"/>
      <c r="M33" s="149"/>
      <c r="N33" s="149"/>
      <c r="O33" s="149"/>
      <c r="U33" s="164"/>
    </row>
    <row r="34" spans="2:21" ht="15" customHeight="1" x14ac:dyDescent="0.2">
      <c r="B34" s="143"/>
      <c r="C34" s="144"/>
      <c r="D34" s="143"/>
      <c r="E34" s="143"/>
      <c r="F34" s="143"/>
      <c r="G34" s="148"/>
      <c r="H34" s="149"/>
      <c r="I34" s="144"/>
      <c r="J34" s="144"/>
      <c r="K34" s="146"/>
      <c r="L34" s="146"/>
      <c r="M34" s="146"/>
      <c r="N34" s="146"/>
      <c r="O34" s="146"/>
      <c r="U34" s="164"/>
    </row>
    <row r="35" spans="2:21" ht="15" customHeight="1" x14ac:dyDescent="0.2">
      <c r="B35" s="143"/>
      <c r="C35" s="143"/>
      <c r="D35" s="143"/>
      <c r="E35" s="143"/>
      <c r="F35" s="143"/>
      <c r="G35" s="148"/>
      <c r="H35" s="149"/>
      <c r="I35" s="144"/>
      <c r="J35" s="144"/>
      <c r="K35" s="146"/>
      <c r="L35" s="146"/>
      <c r="M35" s="146"/>
      <c r="N35" s="146"/>
      <c r="O35" s="146"/>
      <c r="U35" s="164"/>
    </row>
    <row r="36" spans="2:21" ht="15" customHeight="1" x14ac:dyDescent="0.15">
      <c r="J36" s="163"/>
      <c r="M36" s="163"/>
      <c r="O36" s="163"/>
      <c r="U36" s="164"/>
    </row>
    <row r="37" spans="2:21" ht="15" customHeight="1" x14ac:dyDescent="0.15">
      <c r="J37" s="163"/>
      <c r="M37" s="163"/>
      <c r="O37" s="163"/>
      <c r="U37" s="164"/>
    </row>
    <row r="38" spans="2:21" ht="15" customHeight="1" x14ac:dyDescent="0.15">
      <c r="G38" s="154"/>
      <c r="U38" s="164"/>
    </row>
    <row r="39" spans="2:21" ht="15" customHeight="1" x14ac:dyDescent="0.15">
      <c r="G39" s="154"/>
      <c r="U39" s="164"/>
    </row>
    <row r="40" spans="2:21" ht="15" customHeight="1" x14ac:dyDescent="0.15">
      <c r="G40" s="154"/>
      <c r="U40" s="164"/>
    </row>
    <row r="41" spans="2:21" ht="15" customHeight="1" x14ac:dyDescent="0.15">
      <c r="G41" s="154"/>
      <c r="U41" s="164"/>
    </row>
    <row r="42" spans="2:21" ht="15" customHeight="1" x14ac:dyDescent="0.15">
      <c r="G42" s="154"/>
      <c r="U42" s="164"/>
    </row>
    <row r="43" spans="2:21" ht="15" customHeight="1" x14ac:dyDescent="0.15">
      <c r="G43" s="154"/>
      <c r="U43" s="164"/>
    </row>
    <row r="44" spans="2:21" ht="15" customHeight="1" x14ac:dyDescent="0.15">
      <c r="G44" s="154"/>
      <c r="U44" s="164"/>
    </row>
    <row r="45" spans="2:21" ht="15" customHeight="1" x14ac:dyDescent="0.15">
      <c r="G45" s="154"/>
      <c r="U45" s="164"/>
    </row>
    <row r="46" spans="2:21" ht="15" customHeight="1" x14ac:dyDescent="0.15">
      <c r="G46" s="154"/>
      <c r="U46" s="164"/>
    </row>
    <row r="47" spans="2:21" ht="15" customHeight="1" x14ac:dyDescent="0.15">
      <c r="B47" s="180"/>
      <c r="C47" s="180"/>
      <c r="D47" s="180"/>
      <c r="E47" s="180"/>
      <c r="F47" s="180"/>
      <c r="G47" s="180"/>
      <c r="U47" s="164"/>
    </row>
    <row r="48" spans="2:21" ht="15" customHeight="1" x14ac:dyDescent="0.15">
      <c r="U48" s="164"/>
    </row>
    <row r="49" spans="21:21" ht="15" customHeight="1" x14ac:dyDescent="0.15">
      <c r="U49" s="164"/>
    </row>
    <row r="50" spans="21:21" ht="15" customHeight="1" x14ac:dyDescent="0.15">
      <c r="U50" s="164"/>
    </row>
    <row r="51" spans="21:21" ht="15" customHeight="1" x14ac:dyDescent="0.15">
      <c r="U51" s="164"/>
    </row>
    <row r="52" spans="21:21" ht="15" customHeight="1" x14ac:dyDescent="0.15">
      <c r="U52" s="164"/>
    </row>
    <row r="53" spans="21:21" ht="15" customHeight="1" x14ac:dyDescent="0.15">
      <c r="U53" s="164"/>
    </row>
    <row r="54" spans="21:21" ht="15" customHeight="1" x14ac:dyDescent="0.15">
      <c r="U54" s="164"/>
    </row>
    <row r="55" spans="21:21" ht="15" customHeight="1" x14ac:dyDescent="0.15">
      <c r="U55" s="164"/>
    </row>
    <row r="56" spans="21:21" ht="15" customHeight="1" x14ac:dyDescent="0.15">
      <c r="U56" s="164"/>
    </row>
    <row r="57" spans="21:21" ht="15" customHeight="1" x14ac:dyDescent="0.15">
      <c r="U57" s="164"/>
    </row>
    <row r="58" spans="21:21" ht="15" customHeight="1" x14ac:dyDescent="0.15">
      <c r="U58" s="164"/>
    </row>
    <row r="59" spans="21:21" ht="15" customHeight="1" x14ac:dyDescent="0.15">
      <c r="U59" s="164"/>
    </row>
    <row r="60" spans="21:21" ht="15" customHeight="1" x14ac:dyDescent="0.15">
      <c r="U60" s="164"/>
    </row>
    <row r="61" spans="21:21" ht="15" customHeight="1" x14ac:dyDescent="0.15">
      <c r="U61" s="164"/>
    </row>
    <row r="62" spans="21:21" ht="15" customHeight="1" x14ac:dyDescent="0.15">
      <c r="U62" s="164"/>
    </row>
    <row r="63" spans="21:21" ht="15" customHeight="1" x14ac:dyDescent="0.15">
      <c r="U63" s="164"/>
    </row>
    <row r="64" spans="21: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sheetData>
  <mergeCells count="6">
    <mergeCell ref="C7:D7"/>
    <mergeCell ref="G3:J3"/>
    <mergeCell ref="C5:D5"/>
    <mergeCell ref="G7:J7"/>
    <mergeCell ref="C3:D3"/>
    <mergeCell ref="G5:J5"/>
  </mergeCells>
  <conditionalFormatting sqref="B9">
    <cfRule type="expression" dxfId="5887" priority="480">
      <formula>B9="CURRENCY"</formula>
    </cfRule>
    <cfRule type="containsText" dxfId="5886" priority="479" operator="containsText" text="SELECT">
      <formula>NOT(ISERROR(SEARCH("SELECT",B9)))</formula>
    </cfRule>
  </conditionalFormatting>
  <conditionalFormatting sqref="C9:D9">
    <cfRule type="cellIs" dxfId="5885" priority="476" operator="greaterThan">
      <formula>0</formula>
    </cfRule>
    <cfRule type="cellIs" dxfId="5884" priority="475" operator="lessThan">
      <formula>0</formula>
    </cfRule>
  </conditionalFormatting>
  <conditionalFormatting sqref="G11">
    <cfRule type="expression" dxfId="5883" priority="483">
      <formula>((F14-50)/H14)&lt;950</formula>
    </cfRule>
  </conditionalFormatting>
  <conditionalFormatting sqref="G27">
    <cfRule type="expression" dxfId="5882" priority="833">
      <formula>((#REF!-50)/#REF!)&lt;950</formula>
    </cfRule>
  </conditionalFormatting>
  <conditionalFormatting sqref="J29:J35">
    <cfRule type="expression" dxfId="5881" priority="468">
      <formula>#REF!="EURO"</formula>
    </cfRule>
  </conditionalFormatting>
  <conditionalFormatting sqref="K14:K26">
    <cfRule type="cellIs" dxfId="5880" priority="379" operator="greaterThan">
      <formula>0</formula>
    </cfRule>
  </conditionalFormatting>
  <conditionalFormatting sqref="K29:K35">
    <cfRule type="expression" dxfId="5879" priority="465">
      <formula>$B$9="CZK"</formula>
    </cfRule>
    <cfRule type="expression" dxfId="5878" priority="467">
      <formula>$B$9="EURO"</formula>
    </cfRule>
    <cfRule type="expression" dxfId="5877" priority="466">
      <formula>$B$9="USD"</formula>
    </cfRule>
    <cfRule type="expression" dxfId="5876" priority="464">
      <formula>$B$9="PLN"</formula>
    </cfRule>
  </conditionalFormatting>
  <conditionalFormatting sqref="L14:L26">
    <cfRule type="expression" dxfId="5875" priority="382">
      <formula>$C$9&lt;0</formula>
    </cfRule>
    <cfRule type="expression" dxfId="5874" priority="383">
      <formula>$C$9&gt;0</formula>
    </cfRule>
  </conditionalFormatting>
  <conditionalFormatting sqref="N12">
    <cfRule type="expression" dxfId="5873" priority="454">
      <formula>$B$9="EURO"</formula>
    </cfRule>
    <cfRule type="expression" dxfId="5872" priority="453">
      <formula>$B$9="USD"</formula>
    </cfRule>
    <cfRule type="expression" dxfId="5871" priority="452">
      <formula>$B$9="CZK"</formula>
    </cfRule>
    <cfRule type="expression" dxfId="5870" priority="451">
      <formula>$B$9="PLN"</formula>
    </cfRule>
  </conditionalFormatting>
  <conditionalFormatting sqref="N14:N26 N15:O15">
    <cfRule type="expression" dxfId="5869" priority="41">
      <formula>$B$9="CZK"</formula>
    </cfRule>
    <cfRule type="expression" dxfId="5868" priority="40">
      <formula>$B$9="PLN"</formula>
    </cfRule>
    <cfRule type="expression" dxfId="5867" priority="39">
      <formula>$B$9="USD"</formula>
    </cfRule>
    <cfRule type="expression" dxfId="5866" priority="38">
      <formula>$B$9="EURO"</formula>
    </cfRule>
    <cfRule type="cellIs" dxfId="5865" priority="37" operator="greaterThan">
      <formula>0</formula>
    </cfRule>
  </conditionalFormatting>
  <conditionalFormatting sqref="O14 O16:O26">
    <cfRule type="cellIs" dxfId="5864" priority="412" operator="greaterThan">
      <formula>0</formula>
    </cfRule>
  </conditionalFormatting>
  <printOptions horizontalCentered="1"/>
  <pageMargins left="0.19685039370078741" right="0.19685039370078741" top="0.19685039370078741" bottom="0.19685039370078741" header="0.11811023622047249" footer="0.15748031496062989"/>
  <pageSetup paperSize="9" scale="60" orientation="landscape"/>
  <headerFooter alignWithMargins="0">
    <oddFooter>&amp;L&amp;Z&amp;F</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2D050"/>
    <pageSetUpPr fitToPage="1"/>
  </sheetPr>
  <dimension ref="A1:AB592"/>
  <sheetViews>
    <sheetView showGridLines="0" topLeftCell="A25" zoomScale="80" zoomScaleNormal="80" zoomScaleSheetLayoutView="50" workbookViewId="0">
      <selection activeCell="E7" sqref="E7"/>
    </sheetView>
  </sheetViews>
  <sheetFormatPr baseColWidth="10" defaultColWidth="8.83203125" defaultRowHeight="15" customHeight="1" outlineLevelRow="1" x14ac:dyDescent="0.15"/>
  <cols>
    <col min="1" max="1" width="2" style="568" customWidth="1"/>
    <col min="2" max="2" width="29.6640625" style="575" customWidth="1"/>
    <col min="3" max="3" width="24.6640625" style="575" customWidth="1"/>
    <col min="4" max="4" width="27.1640625" style="575" customWidth="1"/>
    <col min="5" max="5" width="26.6640625" style="575" customWidth="1"/>
    <col min="6" max="6" width="18.83203125" style="575" customWidth="1"/>
    <col min="7" max="7" width="22.6640625" style="575" customWidth="1"/>
    <col min="8" max="8" width="10" style="602" bestFit="1" customWidth="1"/>
    <col min="9" max="9" width="11.6640625" style="602" bestFit="1" customWidth="1"/>
    <col min="10" max="10" width="12.33203125" style="603" customWidth="1"/>
    <col min="11" max="11" width="15" style="593" customWidth="1"/>
    <col min="12" max="12" width="7.6640625" style="593" bestFit="1" customWidth="1"/>
    <col min="13" max="13" width="12.33203125" style="600" hidden="1" customWidth="1"/>
    <col min="14" max="14" width="12.83203125" style="603" customWidth="1"/>
    <col min="15" max="15" width="16.1640625" style="588" bestFit="1" customWidth="1"/>
    <col min="16" max="16" width="15.5" style="575" customWidth="1"/>
    <col min="17" max="24" width="8.83203125" style="575" customWidth="1"/>
    <col min="25" max="25" width="8.83203125" style="578" customWidth="1"/>
    <col min="26" max="27" width="8.83203125" style="575" customWidth="1"/>
    <col min="28" max="28" width="8.83203125" style="670" customWidth="1"/>
    <col min="29" max="98" width="8.83203125" style="575" customWidth="1"/>
    <col min="99" max="16384" width="8.83203125" style="575"/>
  </cols>
  <sheetData>
    <row r="1" spans="1:26" ht="15" customHeight="1" x14ac:dyDescent="0.15">
      <c r="B1" s="953" t="s">
        <v>47</v>
      </c>
      <c r="C1" s="941"/>
      <c r="D1" s="569"/>
      <c r="E1" s="569"/>
      <c r="F1" s="569"/>
      <c r="G1" s="569"/>
      <c r="H1" s="570"/>
      <c r="I1" s="570"/>
      <c r="J1" s="571"/>
      <c r="K1" s="572"/>
      <c r="L1" s="573"/>
      <c r="M1" s="574"/>
      <c r="N1" s="571"/>
      <c r="O1" s="853" t="s">
        <v>48</v>
      </c>
      <c r="Q1" s="576"/>
      <c r="R1" s="577"/>
    </row>
    <row r="2" spans="1:26" ht="15" customHeight="1" x14ac:dyDescent="0.15">
      <c r="B2" s="579"/>
      <c r="C2" s="580"/>
      <c r="D2" s="580"/>
      <c r="F2" s="579"/>
      <c r="G2" s="581"/>
      <c r="H2" s="582"/>
      <c r="I2" s="582"/>
      <c r="J2" s="583"/>
      <c r="K2" s="584"/>
      <c r="L2" s="585"/>
      <c r="M2" s="586"/>
      <c r="N2" s="587" t="s">
        <v>49</v>
      </c>
      <c r="R2" s="589"/>
      <c r="W2" s="590"/>
    </row>
    <row r="3" spans="1:26" ht="15" customHeight="1" x14ac:dyDescent="0.15">
      <c r="B3" s="591" t="s">
        <v>2</v>
      </c>
      <c r="C3" s="938" t="s">
        <v>3</v>
      </c>
      <c r="D3" s="941"/>
      <c r="F3" s="592" t="s">
        <v>4</v>
      </c>
      <c r="G3" s="935" t="s">
        <v>5</v>
      </c>
      <c r="H3" s="943"/>
      <c r="I3" s="943"/>
      <c r="J3" s="945"/>
      <c r="L3" s="585"/>
      <c r="M3" s="586"/>
      <c r="N3" s="587"/>
      <c r="R3" s="589"/>
    </row>
    <row r="4" spans="1:26" ht="15" customHeight="1" x14ac:dyDescent="0.15">
      <c r="B4" s="579"/>
      <c r="C4" s="594"/>
      <c r="D4" s="594"/>
      <c r="F4" s="581"/>
      <c r="G4" s="582"/>
      <c r="H4" s="595"/>
      <c r="I4" s="595"/>
      <c r="J4" s="584"/>
      <c r="L4" s="585"/>
      <c r="M4" s="586"/>
      <c r="N4" s="587"/>
      <c r="R4" s="589"/>
    </row>
    <row r="5" spans="1:26" ht="15" customHeight="1" x14ac:dyDescent="0.15">
      <c r="B5" s="591" t="s">
        <v>6</v>
      </c>
      <c r="C5" s="938" t="s">
        <v>7</v>
      </c>
      <c r="D5" s="941"/>
      <c r="F5" s="592" t="s">
        <v>8</v>
      </c>
      <c r="G5" s="935" t="s">
        <v>9</v>
      </c>
      <c r="H5" s="943"/>
      <c r="I5" s="943"/>
      <c r="J5" s="945"/>
      <c r="M5" s="586"/>
      <c r="N5" s="587"/>
      <c r="P5" s="940" t="s">
        <v>50</v>
      </c>
      <c r="Q5" s="941"/>
      <c r="R5" s="941"/>
      <c r="S5" s="941"/>
      <c r="T5" s="941"/>
    </row>
    <row r="6" spans="1:26" ht="15" customHeight="1" x14ac:dyDescent="0.15">
      <c r="B6" s="591"/>
      <c r="C6" s="597"/>
      <c r="D6" s="597"/>
      <c r="F6" s="592"/>
      <c r="G6" s="582"/>
      <c r="H6" s="579"/>
      <c r="I6" s="579"/>
      <c r="J6" s="598"/>
      <c r="L6" s="585"/>
      <c r="M6" s="586"/>
      <c r="N6" s="587"/>
      <c r="P6" s="596"/>
      <c r="R6" s="589"/>
      <c r="S6" s="590"/>
      <c r="Y6" s="599"/>
    </row>
    <row r="7" spans="1:26" ht="15" customHeight="1" x14ac:dyDescent="0.15">
      <c r="B7" s="576" t="s">
        <v>10</v>
      </c>
      <c r="C7" s="938" t="s">
        <v>11</v>
      </c>
      <c r="D7" s="941"/>
      <c r="F7" s="592" t="s">
        <v>12</v>
      </c>
      <c r="G7" s="939" t="s">
        <v>13</v>
      </c>
      <c r="H7" s="943"/>
      <c r="I7" s="943"/>
      <c r="J7" s="945"/>
      <c r="N7" s="601" t="s">
        <v>14</v>
      </c>
      <c r="O7" s="710"/>
      <c r="P7" s="964" t="s">
        <v>51</v>
      </c>
      <c r="Q7" s="941"/>
      <c r="R7" s="941"/>
      <c r="S7" s="590"/>
      <c r="Y7" s="599"/>
    </row>
    <row r="8" spans="1:26" ht="15" customHeight="1" x14ac:dyDescent="0.15">
      <c r="D8" s="578"/>
      <c r="E8" s="578"/>
      <c r="G8" s="578"/>
      <c r="J8" s="600"/>
      <c r="K8" s="588"/>
      <c r="R8" s="589"/>
      <c r="Y8" s="599"/>
    </row>
    <row r="9" spans="1:26" s="576" customFormat="1" ht="15" customHeight="1" x14ac:dyDescent="0.15">
      <c r="A9" s="568"/>
      <c r="B9" s="604" t="s">
        <v>15</v>
      </c>
      <c r="C9" s="828"/>
      <c r="D9" s="699">
        <f>IF(C9=0,0,(SUBTOTAL(9,M14:M197)/(1-C9))-M9)</f>
        <v>0</v>
      </c>
      <c r="E9" s="954"/>
      <c r="F9" s="955"/>
      <c r="G9" s="965"/>
      <c r="H9" s="955"/>
      <c r="I9" s="955"/>
      <c r="J9" s="955"/>
      <c r="K9" s="605">
        <f>SUBTOTAL(9,K12:K197)</f>
        <v>5775.3603498999992</v>
      </c>
      <c r="L9" s="846">
        <f>IF(O9=0,"-",O9/M9)</f>
        <v>0.40663987309087851</v>
      </c>
      <c r="M9" s="605">
        <f>SUBTOTAL(9,M12:M197)</f>
        <v>9733.3138645235376</v>
      </c>
      <c r="N9" s="607">
        <f>SUBTOTAL(9,N12:N197)</f>
        <v>9733.3138645235376</v>
      </c>
      <c r="O9" s="605">
        <f>SUBTOTAL(9,O12:O197)</f>
        <v>3957.9535146235394</v>
      </c>
      <c r="P9" s="575"/>
      <c r="Q9" s="575"/>
      <c r="R9" s="575"/>
      <c r="S9" s="575"/>
      <c r="T9" s="575"/>
      <c r="X9" s="575"/>
      <c r="Y9" s="575"/>
      <c r="Z9" s="575"/>
    </row>
    <row r="10" spans="1:26" s="576" customFormat="1" ht="15" customHeight="1" x14ac:dyDescent="0.15">
      <c r="A10" s="568"/>
      <c r="B10" s="608" t="s">
        <v>15</v>
      </c>
      <c r="C10" s="608" t="s">
        <v>16</v>
      </c>
      <c r="D10" s="608" t="s">
        <v>17</v>
      </c>
      <c r="E10" s="608"/>
      <c r="F10" s="608"/>
      <c r="G10" s="608"/>
      <c r="H10" s="608"/>
      <c r="I10" s="609"/>
      <c r="J10" s="610" t="s">
        <v>52</v>
      </c>
      <c r="K10" s="611" t="s">
        <v>18</v>
      </c>
      <c r="L10" s="612" t="s">
        <v>19</v>
      </c>
      <c r="M10" s="613" t="s">
        <v>20</v>
      </c>
      <c r="N10" s="610" t="s">
        <v>21</v>
      </c>
      <c r="O10" s="614" t="s">
        <v>22</v>
      </c>
      <c r="P10" s="575"/>
      <c r="Q10" s="575"/>
      <c r="R10" s="575"/>
      <c r="S10" s="615"/>
      <c r="T10" s="575"/>
      <c r="X10" s="575"/>
      <c r="Y10" s="575"/>
      <c r="Z10" s="575"/>
    </row>
    <row r="11" spans="1:26" s="576" customFormat="1" ht="15" customHeight="1" x14ac:dyDescent="0.15">
      <c r="A11" s="568"/>
      <c r="B11" s="616"/>
      <c r="C11" s="617"/>
      <c r="D11" s="617"/>
      <c r="E11" s="617"/>
      <c r="F11" s="617"/>
      <c r="G11" s="618" t="s">
        <v>23</v>
      </c>
      <c r="H11" s="617"/>
      <c r="I11" s="618">
        <f>IF(ISNUMBER(SEARCH("UV",D14)),49.7,71.75)</f>
        <v>71.75</v>
      </c>
      <c r="J11" s="619"/>
      <c r="K11" s="616"/>
      <c r="L11" s="620"/>
      <c r="M11" s="621"/>
      <c r="N11" s="619"/>
      <c r="O11" s="588"/>
      <c r="P11" s="575"/>
      <c r="Q11" s="575"/>
      <c r="R11" s="575"/>
      <c r="S11" s="615"/>
      <c r="T11" s="575"/>
      <c r="X11" s="575"/>
      <c r="Y11" s="575"/>
      <c r="Z11" s="575"/>
    </row>
    <row r="12" spans="1:26" s="576" customFormat="1" ht="15" customHeight="1" x14ac:dyDescent="0.15">
      <c r="A12" s="568"/>
      <c r="B12" s="176" t="s">
        <v>53</v>
      </c>
      <c r="C12" s="622" t="str">
        <f>IF(H12&lt;1,0,(((VLOOKUP(G12,CC!$D$2:$F$670,3,FALSE))*H12)+IF(ISNUMBER(SEARCH("CMW",D14)),VLOOKUP(C25,CCBASE!$A$81:$C$85,3,FALSE),0)+(VLOOKUP(C17,CCBASE!$A$53:$C$73,3,FALSE)*D17)+(VLOOKUP(C18,CCBASE!$A$53:$C$73,3,FALSE)*D18))&amp;" HRS")</f>
        <v>29 HRS</v>
      </c>
      <c r="D12" s="623" t="str">
        <f>D14</f>
        <v>KVX</v>
      </c>
      <c r="E12" s="604">
        <f>CEILING(IF(C14="WALL",E14, (E14/2)),250)</f>
        <v>1500</v>
      </c>
      <c r="F12" s="604">
        <f>IF(H12&lt;1,0,CEILING((F14-100)/H14,250))</f>
        <v>2500</v>
      </c>
      <c r="G12" s="623" t="str">
        <f>D12&amp;F12&amp;E12</f>
        <v>KVX25001500</v>
      </c>
      <c r="H12" s="622">
        <f>IF(E14=0,0,IF(F14=0,0,(E14/(IF(C14="WALL",E14,(E14/2)))*H14)))</f>
        <v>2</v>
      </c>
      <c r="I12" s="622" t="str">
        <f>I14&amp;" m³/s"</f>
        <v>0.85 m³/s</v>
      </c>
      <c r="J12" s="624"/>
      <c r="K12" s="625">
        <f>SUBTOTAL(9,K14:K27)</f>
        <v>3754.6603498999998</v>
      </c>
      <c r="L12" s="606">
        <f>IF(K12=0,"-",O12/M12)</f>
        <v>0.42279559379884962</v>
      </c>
      <c r="M12" s="625">
        <f>SUBTOTAL(9,M14:M27)</f>
        <v>6504.9059043245334</v>
      </c>
      <c r="N12" s="607">
        <f>SUBTOTAL(9,N14:N27)</f>
        <v>6504.9059043245334</v>
      </c>
      <c r="O12" s="625">
        <f>SUBTOTAL(9,O14:O27)</f>
        <v>2750.245554424534</v>
      </c>
      <c r="P12" s="575"/>
      <c r="Q12" s="575"/>
      <c r="R12" s="575"/>
      <c r="S12" s="615"/>
      <c r="T12" s="575"/>
      <c r="X12" s="575"/>
      <c r="Y12" s="575"/>
      <c r="Z12" s="575"/>
    </row>
    <row r="13" spans="1:26" ht="15" customHeight="1" outlineLevel="1" x14ac:dyDescent="0.15">
      <c r="B13" s="626"/>
      <c r="C13" s="627" t="s">
        <v>54</v>
      </c>
      <c r="D13" s="628" t="s">
        <v>55</v>
      </c>
      <c r="E13" s="627" t="s">
        <v>56</v>
      </c>
      <c r="F13" s="627" t="s">
        <v>57</v>
      </c>
      <c r="G13" s="627" t="s">
        <v>58</v>
      </c>
      <c r="H13" s="627" t="s">
        <v>59</v>
      </c>
      <c r="I13" s="628" t="s">
        <v>60</v>
      </c>
      <c r="J13" s="629"/>
      <c r="K13" s="630"/>
      <c r="L13" s="630"/>
      <c r="M13" s="631"/>
      <c r="N13" s="632"/>
      <c r="O13" s="614"/>
      <c r="S13" s="596"/>
      <c r="Y13" s="575"/>
    </row>
    <row r="14" spans="1:26" ht="15" customHeight="1" outlineLevel="1" x14ac:dyDescent="0.2">
      <c r="B14" s="204" t="s">
        <v>61</v>
      </c>
      <c r="C14" s="634" t="s">
        <v>62</v>
      </c>
      <c r="D14" s="737" t="s">
        <v>63</v>
      </c>
      <c r="E14" s="636">
        <v>1500</v>
      </c>
      <c r="F14" s="636">
        <v>4800</v>
      </c>
      <c r="G14" s="636">
        <v>555</v>
      </c>
      <c r="H14" s="637">
        <v>2</v>
      </c>
      <c r="I14" s="636">
        <v>0.85</v>
      </c>
      <c r="J14" s="638">
        <f>IF(ISNA(C12),0,IF(F12&gt;3000,0,(IF(H12&lt;1,0,((VLOOKUP(G12,CC!$D$2:$E$670,2,FALSE))*H12)+((VLOOKUP(G12,CC!$D$2:$AD$670,17,FALSE)*(H12/H14)))))))</f>
        <v>2627.9151499</v>
      </c>
      <c r="K14" s="639">
        <f>J14*1</f>
        <v>2627.9151499</v>
      </c>
      <c r="L14" s="640">
        <v>0.44</v>
      </c>
      <c r="M14" s="641">
        <f t="shared" ref="M14:M27" si="0">K14/(1-L14)*(1+$C$9)</f>
        <v>4692.7056248214285</v>
      </c>
      <c r="N14" s="639">
        <f>M14*VLOOKUP($B$9,'Base Costs'!$A$32:$B$37,2,FALSE)</f>
        <v>4692.7056248214285</v>
      </c>
      <c r="O14" s="642">
        <f t="shared" ref="O14:O27" si="1">M14-K14</f>
        <v>2064.7904749214285</v>
      </c>
      <c r="S14" s="596"/>
      <c r="Y14" s="575"/>
    </row>
    <row r="15" spans="1:26" ht="15" customHeight="1" outlineLevel="1" x14ac:dyDescent="0.15">
      <c r="A15" s="568">
        <v>104</v>
      </c>
      <c r="B15" s="633" t="s">
        <v>64</v>
      </c>
      <c r="C15" s="635" t="s">
        <v>841</v>
      </c>
      <c r="D15" s="643">
        <v>2</v>
      </c>
      <c r="E15" s="735"/>
      <c r="F15" s="645"/>
      <c r="G15" s="646"/>
      <c r="H15" s="570"/>
      <c r="I15" s="570"/>
      <c r="J15" s="638">
        <f>IF(ISNA(C12),0,IF(D15=0,0,IF(C15="FLO",VLOOKUP(E15,'Base Costs'!$M$4:$N$14,2,FALSE),IF(C15="LED STRIP",VLOOKUP(E15,'Base Costs'!$M$4:$N$14,2,FALSE),(VLOOKUP(C15,'Base Costs'!$M$4:$N$14,2,FALSE))))))</f>
        <v>297</v>
      </c>
      <c r="K15" s="639">
        <f>J15*D15</f>
        <v>594</v>
      </c>
      <c r="L15" s="640">
        <v>0.31</v>
      </c>
      <c r="M15" s="641">
        <f t="shared" si="0"/>
        <v>860.86956521739137</v>
      </c>
      <c r="N15" s="639">
        <f>M15*VLOOKUP($B$9,'Base Costs'!$A$32:$B$37,2,FALSE)</f>
        <v>860.86956521739137</v>
      </c>
      <c r="O15" s="642">
        <f t="shared" si="1"/>
        <v>266.86956521739137</v>
      </c>
      <c r="P15" s="647"/>
      <c r="S15" s="596"/>
      <c r="Y15" s="575"/>
    </row>
    <row r="16" spans="1:26" ht="15" customHeight="1" outlineLevel="1" x14ac:dyDescent="0.15">
      <c r="A16" s="568">
        <v>234</v>
      </c>
      <c r="B16" s="204" t="s">
        <v>66</v>
      </c>
      <c r="C16" s="654" t="s">
        <v>67</v>
      </c>
      <c r="D16" s="637"/>
      <c r="E16" s="655" t="str">
        <f>IF(C16="","",VLOOKUP(C16,CCBASE!$A$53:$D$73,4,FALSE))</f>
        <v/>
      </c>
      <c r="F16" s="656"/>
      <c r="G16" s="651"/>
      <c r="H16" s="652"/>
      <c r="I16" s="657"/>
      <c r="J16" s="638">
        <f>IF(C16="",0,VLOOKUP(C16,CCBASE!$A$53:$C$73,2,FALSE))</f>
        <v>0</v>
      </c>
      <c r="K16" s="639">
        <f>J16*D16</f>
        <v>0</v>
      </c>
      <c r="L16" s="640">
        <v>0.44</v>
      </c>
      <c r="M16" s="641">
        <f t="shared" si="0"/>
        <v>0</v>
      </c>
      <c r="N16" s="639">
        <f>M16*VLOOKUP($B$9,'Base Costs'!$A$32:$B$37,2,FALSE)</f>
        <v>0</v>
      </c>
      <c r="O16" s="642">
        <f t="shared" si="1"/>
        <v>0</v>
      </c>
      <c r="P16" s="647"/>
      <c r="Q16" s="807"/>
      <c r="S16" s="596"/>
      <c r="Y16" s="575"/>
    </row>
    <row r="17" spans="1:26" ht="15" customHeight="1" outlineLevel="1" x14ac:dyDescent="0.15">
      <c r="B17" s="204" t="s">
        <v>66</v>
      </c>
      <c r="C17" s="654" t="s">
        <v>67</v>
      </c>
      <c r="D17" s="637"/>
      <c r="E17" s="655" t="str">
        <f>IF(C17="","",VLOOKUP(C17,CCBASE!$A$53:$D$73,4,FALSE))</f>
        <v/>
      </c>
      <c r="F17" s="656"/>
      <c r="G17" s="651"/>
      <c r="H17" s="652"/>
      <c r="I17" s="657"/>
      <c r="J17" s="638">
        <f>IF(C17="",0,VLOOKUP(C17,CCBASE!$A$53:$C$73,2,FALSE))</f>
        <v>0</v>
      </c>
      <c r="K17" s="639">
        <f>J17*D17</f>
        <v>0</v>
      </c>
      <c r="L17" s="640">
        <v>0.44</v>
      </c>
      <c r="M17" s="641">
        <f t="shared" si="0"/>
        <v>0</v>
      </c>
      <c r="N17" s="639">
        <f>M17*VLOOKUP($B$9,'Base Costs'!$A$32:$B$37,2,FALSE)</f>
        <v>0</v>
      </c>
      <c r="O17" s="642">
        <f t="shared" si="1"/>
        <v>0</v>
      </c>
      <c r="P17" s="738"/>
      <c r="S17" s="596"/>
      <c r="Y17" s="575"/>
    </row>
    <row r="18" spans="1:26" ht="15" customHeight="1" outlineLevel="1" x14ac:dyDescent="0.15">
      <c r="B18" s="856" t="s">
        <v>68</v>
      </c>
      <c r="C18" s="857" t="s">
        <v>69</v>
      </c>
      <c r="D18" s="858">
        <v>1</v>
      </c>
      <c r="E18" s="859" t="str">
        <f>IF(C18="","",VLOOKUP(C18,CCBASE!$A$53:$D$73,4,FALSE))</f>
        <v>SECTION(S) OF CANOPY</v>
      </c>
      <c r="F18" s="860"/>
      <c r="G18" s="855"/>
      <c r="H18" s="861"/>
      <c r="I18" s="862"/>
      <c r="J18" s="863">
        <f>IF(C18="",0,VLOOKUP(C18,CCBASE!$A$53:$C$73,2,FALSE))</f>
        <v>50</v>
      </c>
      <c r="K18" s="864">
        <f>J18*D18</f>
        <v>50</v>
      </c>
      <c r="L18" s="865">
        <v>0.44</v>
      </c>
      <c r="M18" s="866">
        <f t="shared" si="0"/>
        <v>89.285714285714278</v>
      </c>
      <c r="N18" s="864">
        <f>M18*VLOOKUP($B$9,'Base Costs'!$A$32:$B$37,2,FALSE)</f>
        <v>89.285714285714278</v>
      </c>
      <c r="O18" s="867">
        <f t="shared" si="1"/>
        <v>39.285714285714278</v>
      </c>
      <c r="P18" s="868" t="s">
        <v>70</v>
      </c>
      <c r="S18" s="596"/>
      <c r="Y18" s="575"/>
    </row>
    <row r="19" spans="1:26" ht="15" customHeight="1" outlineLevel="1" x14ac:dyDescent="0.15">
      <c r="A19" s="568">
        <v>289</v>
      </c>
      <c r="B19" s="633" t="s">
        <v>71</v>
      </c>
      <c r="C19" s="654" t="s">
        <v>72</v>
      </c>
      <c r="D19" s="658">
        <f>ROUNDUP($F14/1000,0)</f>
        <v>5</v>
      </c>
      <c r="E19" s="950" t="s">
        <v>73</v>
      </c>
      <c r="F19" s="941"/>
      <c r="G19" s="656"/>
      <c r="H19" s="652"/>
      <c r="I19" s="657"/>
      <c r="J19" s="638">
        <f>IF(D19=0,0,VLOOKUP(C19,'Base Costs'!$A$19:$B$22,2,FALSE))</f>
        <v>0</v>
      </c>
      <c r="K19" s="639">
        <f>J19*D19</f>
        <v>0</v>
      </c>
      <c r="L19" s="640">
        <v>0.44</v>
      </c>
      <c r="M19" s="641">
        <f t="shared" si="0"/>
        <v>0</v>
      </c>
      <c r="N19" s="639">
        <f>M19*VLOOKUP($B$9,'Base Costs'!$A$32:$B$37,2,FALSE)</f>
        <v>0</v>
      </c>
      <c r="O19" s="642">
        <f t="shared" si="1"/>
        <v>0</v>
      </c>
      <c r="P19" t="s">
        <v>74</v>
      </c>
      <c r="Q19" t="s">
        <v>75</v>
      </c>
      <c r="S19" s="596" t="s">
        <v>76</v>
      </c>
      <c r="Y19" s="575"/>
    </row>
    <row r="20" spans="1:26" ht="15" customHeight="1" outlineLevel="1" x14ac:dyDescent="0.15">
      <c r="A20" s="568">
        <v>242</v>
      </c>
      <c r="B20" s="633" t="s">
        <v>77</v>
      </c>
      <c r="C20" s="654"/>
      <c r="D20" s="644" t="s">
        <v>78</v>
      </c>
      <c r="E20" s="651" t="s">
        <v>79</v>
      </c>
      <c r="F20" s="650"/>
      <c r="G20" s="651"/>
      <c r="H20" s="652"/>
      <c r="I20" s="657"/>
      <c r="J20" s="638">
        <f>IF(C20=0,0,'Base Costs'!$B$26)</f>
        <v>0</v>
      </c>
      <c r="K20" s="639">
        <f>J20*C20</f>
        <v>0</v>
      </c>
      <c r="L20" s="640">
        <v>0.44</v>
      </c>
      <c r="M20" s="641">
        <f t="shared" si="0"/>
        <v>0</v>
      </c>
      <c r="N20" s="639">
        <f>M20*VLOOKUP($B$9,'Base Costs'!$A$32:$B$37,2,FALSE)</f>
        <v>0</v>
      </c>
      <c r="O20" s="642">
        <f t="shared" si="1"/>
        <v>0</v>
      </c>
      <c r="P20"/>
      <c r="Q20"/>
      <c r="S20" s="596"/>
      <c r="Y20" s="575"/>
    </row>
    <row r="21" spans="1:26" ht="15" customHeight="1" outlineLevel="1" x14ac:dyDescent="0.15">
      <c r="A21" s="568">
        <v>220</v>
      </c>
      <c r="B21" s="633" t="s">
        <v>80</v>
      </c>
      <c r="C21" s="654"/>
      <c r="D21" s="644" t="s">
        <v>81</v>
      </c>
      <c r="E21" s="650"/>
      <c r="F21" s="650"/>
      <c r="G21" s="659" t="str">
        <f>IF(ISNUMBER(SEARCH("KSA",$D22)),"MAX. EXTRACT (m³/s)", "")</f>
        <v>MAX. EXTRACT (m³/s)</v>
      </c>
      <c r="H21" s="942" t="str">
        <f>IF(ISNUMBER(SEARCH("MUAP",$D14)),"MAX.  SUPPLY (m³/s)",IF(ISNUMBER(SEARCH("SPECIAL",$D14)),"MAX.  SUPPLY (m³/s)",(IF(ISNUMBER(SEARCH("F",$D14)),"MAX.  SUPPLY (m³/s)",""))))</f>
        <v/>
      </c>
      <c r="I21" s="943"/>
      <c r="J21" s="638">
        <f>IF(C21=0,0,'Base Costs'!$B$29)</f>
        <v>0</v>
      </c>
      <c r="K21" s="639">
        <f>J21*C21</f>
        <v>0</v>
      </c>
      <c r="L21" s="640">
        <v>0.44</v>
      </c>
      <c r="M21" s="641">
        <f t="shared" si="0"/>
        <v>0</v>
      </c>
      <c r="N21" s="639">
        <f>M21*VLOOKUP($B$9,'Base Costs'!$A$32:$B$37,2,FALSE)</f>
        <v>0</v>
      </c>
      <c r="O21" s="642">
        <f t="shared" si="1"/>
        <v>0</v>
      </c>
      <c r="S21" s="596"/>
      <c r="Y21" s="575"/>
    </row>
    <row r="22" spans="1:26" ht="15" customHeight="1" outlineLevel="1" x14ac:dyDescent="0.15">
      <c r="B22" s="633" t="s">
        <v>82</v>
      </c>
      <c r="C22" s="643">
        <f>IF(ISNUMBER(SEARCH("CMW",D14)),1,IF(F12=0,0,(ROUNDDOWN(((((F14-(100+(50*H12))))/H14)/500),0)*H12)))</f>
        <v>8</v>
      </c>
      <c r="D22" s="644" t="str">
        <f>VLOOKUP(D14,'Base Costs'!$A$39:$B$58,2,FALSE)</f>
        <v>KSA</v>
      </c>
      <c r="E22" s="660" t="str">
        <f>IF(C22=0,0,IF(D22="KSA",ROUND(I14/C22,3),""))&amp; "  m³/s per filter"</f>
        <v>0.106  m³/s per filter</v>
      </c>
      <c r="F22" s="660" t="str">
        <f>IF(C22=0," Pa",ROUND((((I14*3600)/(C22*I11))^2),1)+20&amp; " Pa")</f>
        <v>48.4 Pa</v>
      </c>
      <c r="G22" s="661">
        <f>IF(ISNUMBER(SEARCH("KSA",$D22)),$C22*0.25, "")</f>
        <v>2</v>
      </c>
      <c r="H22" s="949" t="str">
        <f>IF(ISNUMBER(SEARCH("MUAP",$D14)),0.225*($F14/1000),IF(ISNUMBER(SEARCH("SPECIAL",$D14)),0.225*($F14/1000),(IF(ISNUMBER(SEARCH("F",$D14)),0.225*($F14/1000),""))))</f>
        <v/>
      </c>
      <c r="I22" s="943"/>
      <c r="J22" s="638">
        <f>IF(ISNA(D22),0,(VLOOKUP(D22,'Base Costs'!$Q$4:$R$11,2,FALSE)))</f>
        <v>46.258400000000002</v>
      </c>
      <c r="K22" s="639">
        <f>IF(ISNA(D22),0,IF(D22="MX",J22*1,J22*C22))</f>
        <v>370.06720000000001</v>
      </c>
      <c r="L22" s="640">
        <v>0.44</v>
      </c>
      <c r="M22" s="641">
        <f t="shared" si="0"/>
        <v>660.83428571428567</v>
      </c>
      <c r="N22" s="639">
        <f>M22*VLOOKUP($B$9,'Base Costs'!$A$32:$B$37,2,FALSE)</f>
        <v>660.83428571428567</v>
      </c>
      <c r="O22" s="642">
        <f t="shared" si="1"/>
        <v>290.76708571428566</v>
      </c>
      <c r="S22" s="596"/>
      <c r="Y22" s="575"/>
    </row>
    <row r="23" spans="1:26" ht="15" customHeight="1" outlineLevel="1" x14ac:dyDescent="0.15">
      <c r="B23" s="204" t="s">
        <v>83</v>
      </c>
      <c r="C23" s="643">
        <v>1</v>
      </c>
      <c r="D23" s="735" t="str">
        <f>VLOOKUP(D14,'Base Costs'!$A$39:$C$58,3,FALSE)</f>
        <v>PSU</v>
      </c>
      <c r="E23" s="660" t="str">
        <f>IF(C23=0,0,IF(D23="PSU",ROUND(I14/C23,3),""))&amp; " m³/s per filter"</f>
        <v>0.85 m³/s per filter</v>
      </c>
      <c r="F23" s="660" t="str">
        <f>IF(C23=0," Pa",ROUND((((I14*3600)/(C23*I11))^2),1)+20&amp; " Pa")</f>
        <v>1838.9 Pa</v>
      </c>
      <c r="G23" s="661" t="str">
        <f>IF(ISNUMBER(SEARCH("KSA",$D23)),$C23*0.25, "")</f>
        <v/>
      </c>
      <c r="H23" s="949" t="str">
        <f>IF(ISNUMBER(SEARCH("MUAP",$D14)),0.225*($F14/1000),IF(ISNUMBER(SEARCH("SPECIAL",$D14)),0.225*($F14/1000),(IF(ISNUMBER(SEARCH("F",$D14)),0.225*($F14/1000),""))))</f>
        <v/>
      </c>
      <c r="I23" s="943"/>
      <c r="J23" s="638">
        <f>IF(ISNA(D23),0,(VLOOKUP(D23,'Base Costs'!$Q$4:$R$14,2,FALSE)))</f>
        <v>112.678</v>
      </c>
      <c r="K23" s="639">
        <f>IF(ISNA(D23),0,IF(D23="MX",J23*1,J23*C23))</f>
        <v>112.678</v>
      </c>
      <c r="L23" s="640">
        <v>0.44</v>
      </c>
      <c r="M23" s="641">
        <f t="shared" si="0"/>
        <v>201.21071428571426</v>
      </c>
      <c r="N23" s="639">
        <f>M23*VLOOKUP($B$9,'Base Costs'!$A$32:$B$37,2,FALSE)</f>
        <v>201.21071428571426</v>
      </c>
      <c r="O23" s="642">
        <f t="shared" si="1"/>
        <v>88.532714285714263</v>
      </c>
      <c r="S23" s="596"/>
      <c r="Y23" s="575"/>
    </row>
    <row r="24" spans="1:26" ht="15" customHeight="1" outlineLevel="1" x14ac:dyDescent="0.15">
      <c r="A24" s="568">
        <v>107</v>
      </c>
      <c r="B24" s="662" t="str">
        <f>IF(ISNUMBER(SEARCH("UV",D14)),"UV-C COMPONENTS",IF(ISNUMBER(SEARCH("CMW",D14)),"WATERWASH COMPONENTS",""))</f>
        <v/>
      </c>
      <c r="C24" s="663" t="str">
        <f>IF(H12=0,"UVR",IF(I14=0,"UVR",IF(I24&gt;0,("UVR")&amp;(INDEX('Base Costs'!$AH$5:$AI$10,(MATCH((I14/H12),'Base Costs'!$AI$5:$AI$10,-1)),1))&amp;("-")&amp;(H12),"UVR")))</f>
        <v>UVR</v>
      </c>
      <c r="D24" s="664" t="str">
        <f>VLOOKUP(C24,'Base Costs'!$Z$4:$AF$77,7,FALSE)&amp;" m³/s"</f>
        <v xml:space="preserve"> m³/s</v>
      </c>
      <c r="E24" s="665" t="str">
        <f>IF(ISNUMBER(SEARCH("L",C24)),"LONG RACK IN SECTION","SHORTRACK")</f>
        <v>SHORTRACK</v>
      </c>
      <c r="F24" s="666" t="str">
        <f>IF(ISNUMBER(SEARCH("L",C24)),ROUND(F14/H14,1)&amp;" mm","")</f>
        <v/>
      </c>
      <c r="G24" s="656"/>
      <c r="H24" s="656"/>
      <c r="I24" s="653">
        <f>IF(ISNUMBER(SEARCH("UV",D14)),1, 0)</f>
        <v>0</v>
      </c>
      <c r="J24" s="638">
        <f>IF(ISNA(C24),0,VLOOKUP(C24,'Base Costs'!$Z$4:$AF$77,2,FALSE))</f>
        <v>0</v>
      </c>
      <c r="K24" s="639">
        <f>J24*1</f>
        <v>0</v>
      </c>
      <c r="L24" s="640">
        <v>0.44</v>
      </c>
      <c r="M24" s="641">
        <f t="shared" si="0"/>
        <v>0</v>
      </c>
      <c r="N24" s="639">
        <f>M24*VLOOKUP($B$9,'Base Costs'!$A$32:$B$37,2,FALSE)</f>
        <v>0</v>
      </c>
      <c r="O24" s="642">
        <f t="shared" si="1"/>
        <v>0</v>
      </c>
      <c r="R24" s="808"/>
      <c r="S24" s="596"/>
      <c r="Y24" s="575"/>
    </row>
    <row r="25" spans="1:26" ht="15" customHeight="1" outlineLevel="1" x14ac:dyDescent="0.15">
      <c r="B25" s="633" t="str">
        <f>IF(ISNUMBER(SEARCH("UV",D14)),"UV-C 2ND FILTER",IF(ISNUMBER(SEARCH("CMW",D14)),"CONTROL PANEL",""))</f>
        <v/>
      </c>
      <c r="C25" s="660" t="s">
        <v>84</v>
      </c>
      <c r="D25" s="662" t="str">
        <f>IF(ISNUMBER(SEARCH("CP1S",$C25)),"Up to 12m of canopy","")</f>
        <v/>
      </c>
      <c r="E25" s="662" t="str">
        <f>IF(ISNUMBER(SEARCH("CMW",$D14)),"CWS REQUIREMENT @ 2Bar","")</f>
        <v/>
      </c>
      <c r="F25" s="667" t="str">
        <f>IF(ISNUMBER(SEARCH("CMW",$D14)),$F14/1000*0.02&amp;" L/S","")</f>
        <v/>
      </c>
      <c r="G25" s="32"/>
      <c r="H25" s="652"/>
      <c r="I25" s="653">
        <f>C22</f>
        <v>8</v>
      </c>
      <c r="J25" s="638">
        <f>IF(ISNUMBER(SEARCH("CMW",D14)),VLOOKUP(C25,CCBASE!$A$81:$B$85,2,FALSE),(IF(I24&gt;0,'Base Costs'!$R$7,0)))</f>
        <v>0</v>
      </c>
      <c r="K25" s="639">
        <f>J25*C22</f>
        <v>0</v>
      </c>
      <c r="L25" s="640">
        <v>0.44</v>
      </c>
      <c r="M25" s="641">
        <f t="shared" si="0"/>
        <v>0</v>
      </c>
      <c r="N25" s="639">
        <f>M25*VLOOKUP($B$9,'Base Costs'!$A$32:$B$37,2,FALSE)</f>
        <v>0</v>
      </c>
      <c r="O25" s="642">
        <f t="shared" si="1"/>
        <v>0</v>
      </c>
      <c r="P25" s="720"/>
      <c r="S25" s="596"/>
      <c r="Y25" s="575"/>
    </row>
    <row r="26" spans="1:26" ht="15" customHeight="1" outlineLevel="1" x14ac:dyDescent="0.15">
      <c r="A26" s="568">
        <v>285</v>
      </c>
      <c r="B26" s="633" t="str">
        <f>IF(ISNUMBER(SEARCH("UV",D14)),"UV-C WORKSHOP WIRING",IF(ISNUMBER(SEARCH("CMW",D14)),"W/W PODS",""))</f>
        <v/>
      </c>
      <c r="C26" s="660" t="s">
        <v>85</v>
      </c>
      <c r="D26" s="660">
        <v>0</v>
      </c>
      <c r="E26" s="662" t="str">
        <f>IF(ISNUMBER(SEARCH("CMW",$D14)),"HWS REQUIREMENT @ 60°C ","")</f>
        <v/>
      </c>
      <c r="F26" s="668" t="str">
        <f>IF(ISNUMBER(SEARCH("CMW",$D14)),$F14/1000*0.103&amp;" L/S","")</f>
        <v/>
      </c>
      <c r="G26" s="656"/>
      <c r="H26" s="652"/>
      <c r="I26" s="653">
        <f>IF(I24&gt;0,H12,0)</f>
        <v>0</v>
      </c>
      <c r="J26" s="638">
        <f>IF(ISNUMBER(SEARCH("CMW",D14)),VLOOKUP(C26,'Base Costs'!$Q$35:$R$45,2,FALSE),IF(I26=0,0,36*1.03))</f>
        <v>0</v>
      </c>
      <c r="K26" s="639">
        <f>IF(ISNUMBER(SEARCH("CMW",D14)),J26*D26,J26*H12)</f>
        <v>0</v>
      </c>
      <c r="L26" s="640">
        <v>0.44</v>
      </c>
      <c r="M26" s="641">
        <f t="shared" si="0"/>
        <v>0</v>
      </c>
      <c r="N26" s="639">
        <f>M26*VLOOKUP($B$9,'Base Costs'!$A$32:$B$37,2,FALSE)</f>
        <v>0</v>
      </c>
      <c r="O26" s="642">
        <f t="shared" si="1"/>
        <v>0</v>
      </c>
      <c r="S26" s="596"/>
      <c r="Y26" s="575"/>
    </row>
    <row r="27" spans="1:26" ht="15" customHeight="1" outlineLevel="1" x14ac:dyDescent="0.15">
      <c r="A27" s="568">
        <v>286</v>
      </c>
      <c r="B27" s="633" t="str">
        <f>IF(ISNUMBER(SEARCH("CMW",$D14)),"CWS/HWS PIPEWORK UP TO 5M",IF(ISNUMBER(SEARCH("UV",$D14)),"MU5 INTERFACE", ""))</f>
        <v/>
      </c>
      <c r="C27" s="660">
        <v>1</v>
      </c>
      <c r="D27" s="669"/>
      <c r="E27" s="662" t="str">
        <f>IF(ISNUMBER(SEARCH("CMW",$D14)),"HW STORAGE 3m wash","")</f>
        <v/>
      </c>
      <c r="F27" s="667" t="str">
        <f>IF(ISNUMBER(SEARCH("CMW",$D14)),($F14/1000)*0.103*180&amp;" L","")</f>
        <v/>
      </c>
      <c r="G27" s="651"/>
      <c r="H27" s="652"/>
      <c r="I27" s="653">
        <f>IF(I24=0,0,1)</f>
        <v>0</v>
      </c>
      <c r="J27" s="638">
        <f>IF(B27="CWS/HWS PIPEWORK UP TO 5M",CCBASE!$B$65,IF(I27=0,0,100*1.44))</f>
        <v>0</v>
      </c>
      <c r="K27" s="639">
        <f>J27*C27</f>
        <v>0</v>
      </c>
      <c r="L27" s="640">
        <v>0.44</v>
      </c>
      <c r="M27" s="641">
        <f t="shared" si="0"/>
        <v>0</v>
      </c>
      <c r="N27" s="639">
        <f>M27*VLOOKUP($B$9,'Base Costs'!$A$32:$B$37,2,FALSE)</f>
        <v>0</v>
      </c>
      <c r="O27" s="642">
        <f t="shared" si="1"/>
        <v>0</v>
      </c>
      <c r="S27" s="596"/>
      <c r="Y27" s="575"/>
    </row>
    <row r="28" spans="1:26" s="576" customFormat="1" ht="15" customHeight="1" x14ac:dyDescent="0.15">
      <c r="A28" s="568"/>
      <c r="B28" s="616"/>
      <c r="C28" s="617"/>
      <c r="D28" s="617"/>
      <c r="E28" s="617"/>
      <c r="F28" s="617"/>
      <c r="G28" s="618" t="s">
        <v>23</v>
      </c>
      <c r="H28" s="617"/>
      <c r="I28" s="618">
        <f>IF(ISNUMBER(SEARCH("UV",D31)),49.7,71.75)</f>
        <v>71.75</v>
      </c>
      <c r="J28" s="619"/>
      <c r="K28" s="616"/>
      <c r="L28" s="620"/>
      <c r="M28" s="621"/>
      <c r="N28" s="619"/>
      <c r="O28" s="588"/>
      <c r="P28" s="575"/>
      <c r="Q28" s="575"/>
      <c r="R28" s="575"/>
      <c r="S28" s="615"/>
      <c r="T28" s="575"/>
      <c r="X28" s="575"/>
      <c r="Y28" s="575"/>
      <c r="Z28" s="575"/>
    </row>
    <row r="29" spans="1:26" s="576" customFormat="1" ht="15" customHeight="1" x14ac:dyDescent="0.15">
      <c r="A29" s="568"/>
      <c r="B29" s="176" t="s">
        <v>86</v>
      </c>
      <c r="C29" s="622">
        <f>IF(H29&lt;1,0,(((VLOOKUP(G29,CC!$D$2:$F$670,3,FALSE))*H29)+IF(ISNUMBER(SEARCH("CMW",D31)),VLOOKUP(C42,CCBASE!$A$81:$C$85,3,FALSE),0)+(VLOOKUP(C34,CCBASE!$A$53:$C$73,3,FALSE)*D34)+(VLOOKUP(C35,CCBASE!$A$53:$C$73,3,FALSE)*D35))&amp;" HRS")</f>
        <v>0</v>
      </c>
      <c r="D29" s="623" t="str">
        <f>D31</f>
        <v>CANOPY TYPE</v>
      </c>
      <c r="E29" s="604">
        <f>CEILING(IF(C31="WALL",E31, (E31/2)),250)</f>
        <v>0</v>
      </c>
      <c r="F29" s="604">
        <f>IF(H29&lt;1,0,CEILING((F31-100)/H31,250))</f>
        <v>0</v>
      </c>
      <c r="G29" s="623" t="str">
        <f>D29&amp;F29&amp;E29</f>
        <v>CANOPY TYPE00</v>
      </c>
      <c r="H29" s="622">
        <f>IF(E31=0,0,IF(F31=0,0,(E31/(IF(C31="WALL",E31,(E31/2)))*H31)))</f>
        <v>0</v>
      </c>
      <c r="I29" s="622" t="str">
        <f>I31&amp;" m³/s"</f>
        <v xml:space="preserve"> m³/s</v>
      </c>
      <c r="J29" s="624"/>
      <c r="K29" s="625">
        <f>SUBTOTAL(9,K31:K44)</f>
        <v>0</v>
      </c>
      <c r="L29" s="606" t="str">
        <f>IF(K29=0,"-",O29/M29)</f>
        <v>-</v>
      </c>
      <c r="M29" s="625">
        <f>SUBTOTAL(9,M31:M44)</f>
        <v>0</v>
      </c>
      <c r="N29" s="607">
        <f>SUBTOTAL(9,N31:N44)</f>
        <v>0</v>
      </c>
      <c r="O29" s="625">
        <f>SUBTOTAL(9,O31:O44)</f>
        <v>0</v>
      </c>
      <c r="P29" s="575"/>
      <c r="Q29" s="575"/>
      <c r="R29" s="575"/>
      <c r="S29" s="615"/>
      <c r="T29" s="575"/>
      <c r="X29" s="575"/>
      <c r="Y29" s="575"/>
      <c r="Z29" s="575"/>
    </row>
    <row r="30" spans="1:26" ht="15" hidden="1" customHeight="1" outlineLevel="1" x14ac:dyDescent="0.15">
      <c r="B30" s="626"/>
      <c r="C30" s="627" t="s">
        <v>54</v>
      </c>
      <c r="D30" s="628" t="s">
        <v>55</v>
      </c>
      <c r="E30" s="627" t="s">
        <v>56</v>
      </c>
      <c r="F30" s="627" t="s">
        <v>57</v>
      </c>
      <c r="G30" s="627" t="s">
        <v>58</v>
      </c>
      <c r="H30" s="627" t="s">
        <v>59</v>
      </c>
      <c r="I30" s="628"/>
      <c r="J30" s="629"/>
      <c r="K30" s="630"/>
      <c r="L30" s="630"/>
      <c r="M30" s="631"/>
      <c r="N30" s="632"/>
      <c r="O30" s="614"/>
      <c r="S30" s="596"/>
      <c r="Y30" s="575"/>
    </row>
    <row r="31" spans="1:26" ht="15" hidden="1" customHeight="1" outlineLevel="1" x14ac:dyDescent="0.2">
      <c r="A31" s="568">
        <v>210</v>
      </c>
      <c r="B31" s="633" t="s">
        <v>61</v>
      </c>
      <c r="C31" s="634" t="s">
        <v>62</v>
      </c>
      <c r="D31" s="635" t="s">
        <v>87</v>
      </c>
      <c r="E31" s="636"/>
      <c r="F31" s="636"/>
      <c r="G31" s="636"/>
      <c r="H31" s="637"/>
      <c r="I31" s="636"/>
      <c r="J31" s="638">
        <f>IF(ISNA(C29),0,IF(F29&gt;3000,0,(IF(H29&lt;1,0,((VLOOKUP(G29,CC!$D$2:$E$670,2,FALSE))*H29)+((VLOOKUP(G29,CC!$D$2:$AD$670,17,FALSE)*(H29/H31)))))))</f>
        <v>0</v>
      </c>
      <c r="K31" s="639">
        <f>J31*1</f>
        <v>0</v>
      </c>
      <c r="L31" s="640">
        <v>0.44</v>
      </c>
      <c r="M31" s="641">
        <f t="shared" ref="M31:M44" si="2">K31/(1-L31)*(1+$C$9)</f>
        <v>0</v>
      </c>
      <c r="N31" s="639">
        <f>M31*VLOOKUP($B$9,'Base Costs'!$A$32:$B$37,2,FALSE)</f>
        <v>0</v>
      </c>
      <c r="O31" s="642">
        <f t="shared" ref="O31:O44" si="3">M31-K31</f>
        <v>0</v>
      </c>
      <c r="S31" s="596"/>
      <c r="Y31" s="575"/>
    </row>
    <row r="32" spans="1:26" ht="15" hidden="1" customHeight="1" outlineLevel="1" x14ac:dyDescent="0.15">
      <c r="A32" s="568">
        <v>104</v>
      </c>
      <c r="B32" s="633" t="s">
        <v>64</v>
      </c>
      <c r="C32" s="635" t="s">
        <v>65</v>
      </c>
      <c r="D32" s="643"/>
      <c r="E32" s="644"/>
      <c r="F32" s="645"/>
      <c r="G32" s="646"/>
      <c r="H32" s="570"/>
      <c r="I32" s="570"/>
      <c r="J32" s="638">
        <f>IF(ISNA(C29),0,IF(D32=0,0,IF(C32="FLO",VLOOKUP(E32,'Base Costs'!$M$4:$N$14,2,FALSE),IF(C32="LED STRIP",VLOOKUP(E32,'Base Costs'!$M$4:$N$14,2,FALSE),(VLOOKUP(C32,'Base Costs'!$M$4:$N$14,2,FALSE))))))</f>
        <v>0</v>
      </c>
      <c r="K32" s="639">
        <f>J32*D32</f>
        <v>0</v>
      </c>
      <c r="L32" s="640">
        <v>0.31</v>
      </c>
      <c r="M32" s="641">
        <f t="shared" si="2"/>
        <v>0</v>
      </c>
      <c r="N32" s="639">
        <f>M32*VLOOKUP($B$9,'Base Costs'!$A$32:$B$37,2,FALSE)</f>
        <v>0</v>
      </c>
      <c r="O32" s="642">
        <f t="shared" si="3"/>
        <v>0</v>
      </c>
      <c r="P32" s="647"/>
      <c r="S32" s="596"/>
      <c r="Y32" s="575"/>
    </row>
    <row r="33" spans="1:26" ht="15" hidden="1" customHeight="1" outlineLevel="1" x14ac:dyDescent="0.15">
      <c r="A33" s="568">
        <v>234</v>
      </c>
      <c r="B33" s="204" t="s">
        <v>66</v>
      </c>
      <c r="C33" s="654" t="s">
        <v>67</v>
      </c>
      <c r="D33" s="637"/>
      <c r="E33" s="655" t="str">
        <f>IF(C33="","",VLOOKUP(C33,CCBASE!$A$53:$D$73,4,FALSE))</f>
        <v/>
      </c>
      <c r="F33" s="656"/>
      <c r="G33" s="651"/>
      <c r="H33" s="652"/>
      <c r="I33" s="657"/>
      <c r="J33" s="638">
        <f>IF(C33="",0,VLOOKUP(C33,CCBASE!$A$53:$C$73,2,FALSE))</f>
        <v>0</v>
      </c>
      <c r="K33" s="639">
        <f>J33*D33</f>
        <v>0</v>
      </c>
      <c r="L33" s="640">
        <v>0.44</v>
      </c>
      <c r="M33" s="641">
        <f t="shared" si="2"/>
        <v>0</v>
      </c>
      <c r="N33" s="639">
        <f>M33*VLOOKUP($B$9,'Base Costs'!$A$32:$B$37,2,FALSE)</f>
        <v>0</v>
      </c>
      <c r="O33" s="642">
        <f t="shared" si="3"/>
        <v>0</v>
      </c>
      <c r="S33" s="596"/>
      <c r="Y33" s="575"/>
    </row>
    <row r="34" spans="1:26" ht="15" hidden="1" customHeight="1" outlineLevel="1" x14ac:dyDescent="0.15">
      <c r="B34" s="633" t="s">
        <v>66</v>
      </c>
      <c r="C34" s="654" t="s">
        <v>67</v>
      </c>
      <c r="D34" s="637"/>
      <c r="E34" s="655" t="str">
        <f>IF(C34="","",VLOOKUP(C34,CCBASE!$A$53:$D$73,4,FALSE))</f>
        <v/>
      </c>
      <c r="F34" s="656"/>
      <c r="G34" s="651"/>
      <c r="H34" s="652"/>
      <c r="I34" s="657"/>
      <c r="J34" s="638">
        <f>IF(C34="",0,VLOOKUP(C34,CCBASE!$A$53:$C$73,2,FALSE))</f>
        <v>0</v>
      </c>
      <c r="K34" s="639">
        <f>J34*D34</f>
        <v>0</v>
      </c>
      <c r="L34" s="640">
        <v>0.44</v>
      </c>
      <c r="M34" s="641">
        <f t="shared" si="2"/>
        <v>0</v>
      </c>
      <c r="N34" s="639">
        <f>M34*VLOOKUP($B$9,'Base Costs'!$A$32:$B$37,2,FALSE)</f>
        <v>0</v>
      </c>
      <c r="O34" s="642">
        <f t="shared" si="3"/>
        <v>0</v>
      </c>
      <c r="S34" s="596"/>
      <c r="Y34" s="575"/>
    </row>
    <row r="35" spans="1:26" ht="15" hidden="1" customHeight="1" outlineLevel="1" x14ac:dyDescent="0.15">
      <c r="B35" s="856" t="s">
        <v>66</v>
      </c>
      <c r="C35" s="857" t="s">
        <v>69</v>
      </c>
      <c r="D35" s="858"/>
      <c r="E35" s="962"/>
      <c r="F35" s="941"/>
      <c r="G35" s="855"/>
      <c r="H35" s="861"/>
      <c r="I35" s="862"/>
      <c r="J35" s="863">
        <f>IF(C35="",0,VLOOKUP(C35,CCBASE!$A$53:$C$73,2,FALSE))</f>
        <v>50</v>
      </c>
      <c r="K35" s="864">
        <f>J35*D35</f>
        <v>0</v>
      </c>
      <c r="L35" s="865">
        <v>0.44</v>
      </c>
      <c r="M35" s="866">
        <f t="shared" si="2"/>
        <v>0</v>
      </c>
      <c r="N35" s="864">
        <f>M35*VLOOKUP($B$9,'Base Costs'!$A$32:$B$37,2,FALSE)</f>
        <v>0</v>
      </c>
      <c r="O35" s="867">
        <f t="shared" si="3"/>
        <v>0</v>
      </c>
      <c r="P35" s="868" t="s">
        <v>70</v>
      </c>
      <c r="S35" s="596"/>
      <c r="Y35" s="575"/>
    </row>
    <row r="36" spans="1:26" ht="15" hidden="1" customHeight="1" outlineLevel="1" x14ac:dyDescent="0.15">
      <c r="A36" s="568">
        <v>289</v>
      </c>
      <c r="B36" s="633" t="s">
        <v>71</v>
      </c>
      <c r="C36" s="654" t="s">
        <v>72</v>
      </c>
      <c r="D36" s="658">
        <f>ROUNDUP($F31/1000,0)</f>
        <v>0</v>
      </c>
      <c r="E36" s="950" t="s">
        <v>73</v>
      </c>
      <c r="F36" s="941"/>
      <c r="G36" s="656"/>
      <c r="H36" s="652"/>
      <c r="I36" s="657"/>
      <c r="J36" s="638">
        <f>IF(D36=0,0,VLOOKUP(C36,'Base Costs'!$A$19:$B$22,2,FALSE))</f>
        <v>0</v>
      </c>
      <c r="K36" s="639">
        <f>J36*D36</f>
        <v>0</v>
      </c>
      <c r="L36" s="640">
        <v>0.44</v>
      </c>
      <c r="M36" s="641">
        <f t="shared" si="2"/>
        <v>0</v>
      </c>
      <c r="N36" s="639">
        <f>M36*VLOOKUP($B$9,'Base Costs'!$A$32:$B$37,2,FALSE)</f>
        <v>0</v>
      </c>
      <c r="O36" s="642">
        <f t="shared" si="3"/>
        <v>0</v>
      </c>
      <c r="S36" s="596"/>
      <c r="Y36" s="575"/>
    </row>
    <row r="37" spans="1:26" ht="15" hidden="1" customHeight="1" outlineLevel="1" x14ac:dyDescent="0.15">
      <c r="A37" s="568">
        <v>242</v>
      </c>
      <c r="B37" s="633" t="s">
        <v>77</v>
      </c>
      <c r="C37" s="654"/>
      <c r="D37" s="644" t="s">
        <v>78</v>
      </c>
      <c r="E37" s="651" t="s">
        <v>79</v>
      </c>
      <c r="F37" s="650"/>
      <c r="G37" s="651"/>
      <c r="H37" s="652"/>
      <c r="I37" s="657"/>
      <c r="J37" s="638">
        <f>IF(C37=0,0,'Base Costs'!$B$26)</f>
        <v>0</v>
      </c>
      <c r="K37" s="639">
        <f>J37*C37</f>
        <v>0</v>
      </c>
      <c r="L37" s="640">
        <v>0.44</v>
      </c>
      <c r="M37" s="641">
        <f t="shared" si="2"/>
        <v>0</v>
      </c>
      <c r="N37" s="639">
        <f>M37*VLOOKUP($B$9,'Base Costs'!$A$32:$B$37,2,FALSE)</f>
        <v>0</v>
      </c>
      <c r="O37" s="642">
        <f t="shared" si="3"/>
        <v>0</v>
      </c>
      <c r="P37"/>
      <c r="Q37"/>
      <c r="S37" s="596"/>
      <c r="Y37" s="575"/>
    </row>
    <row r="38" spans="1:26" ht="15" hidden="1" customHeight="1" outlineLevel="1" x14ac:dyDescent="0.15">
      <c r="A38" s="568">
        <v>220</v>
      </c>
      <c r="B38" s="633" t="s">
        <v>80</v>
      </c>
      <c r="C38" s="654"/>
      <c r="D38" s="644" t="s">
        <v>81</v>
      </c>
      <c r="E38" s="650"/>
      <c r="F38" s="650"/>
      <c r="G38" s="659" t="str">
        <f>IF(ISNUMBER(SEARCH("KSA",$D39)),"MAX. EXTRACT (m³/s)", "")</f>
        <v/>
      </c>
      <c r="H38" s="942" t="str">
        <f>IF(ISNUMBER(SEARCH("MUAP",$D31)),"MAX.  SUPPLY (m³/s)",IF(ISNUMBER(SEARCH("SPECIAL",$D31)),"MAX.  SUPPLY (m³/s)",(IF(ISNUMBER(SEARCH("F",$D31)),"MAX.  SUPPLY (m³/s)",""))))</f>
        <v/>
      </c>
      <c r="I38" s="943"/>
      <c r="J38" s="638">
        <f>IF(C38=0,0,'Base Costs'!$B$29)</f>
        <v>0</v>
      </c>
      <c r="K38" s="639">
        <f>J38*C38</f>
        <v>0</v>
      </c>
      <c r="L38" s="640">
        <v>0.44</v>
      </c>
      <c r="M38" s="641">
        <f t="shared" si="2"/>
        <v>0</v>
      </c>
      <c r="N38" s="639">
        <f>M38*VLOOKUP($B$9,'Base Costs'!$A$32:$B$37,2,FALSE)</f>
        <v>0</v>
      </c>
      <c r="O38" s="642">
        <f t="shared" si="3"/>
        <v>0</v>
      </c>
      <c r="S38" s="596"/>
      <c r="Y38" s="575"/>
    </row>
    <row r="39" spans="1:26" ht="15" hidden="1" customHeight="1" outlineLevel="1" x14ac:dyDescent="0.15">
      <c r="A39" s="568">
        <v>103</v>
      </c>
      <c r="B39" s="633" t="s">
        <v>82</v>
      </c>
      <c r="C39" s="643">
        <f>IF(ISNUMBER(SEARCH("CMW",D31)),1,IF(F29=0,0,(ROUNDDOWN(((((F31-(100+(50*H29))))/H31)/500),0)*H29)))</f>
        <v>0</v>
      </c>
      <c r="D39" s="644" t="str">
        <f>VLOOKUP(D31,'Base Costs'!$A$39:$B$58,2,FALSE)</f>
        <v>FILTER TYPE</v>
      </c>
      <c r="E39" s="660" t="str">
        <f>IF(C39=0,0,IF(D39="KSA",ROUND(I31/C39,3),""))&amp; "  m³/s per filter"</f>
        <v>0  m³/s per filter</v>
      </c>
      <c r="F39" s="660" t="str">
        <f>IF(C39=0," Pa",ROUND((((I31*3600)/(C39*I28))^2),1)+20&amp; " Pa")</f>
        <v xml:space="preserve"> Pa</v>
      </c>
      <c r="G39" s="661" t="str">
        <f>IF(ISNUMBER(SEARCH("KSA",$D39)),$C39*0.25, "")</f>
        <v/>
      </c>
      <c r="H39" s="949" t="str">
        <f>IF(ISNUMBER(SEARCH("MUAP",$D31)),0.225*($F31/1000),IF(ISNUMBER(SEARCH("SPECIAL",$D31)),0.225*($F31/1000),(IF(ISNUMBER(SEARCH("F",$D31)),0.225*($F31/1000),""))))</f>
        <v/>
      </c>
      <c r="I39" s="943"/>
      <c r="J39" s="638">
        <f>IF(ISNA(D39),0,(VLOOKUP(D39,'Base Costs'!$Q$4:$R$11,2,FALSE)))</f>
        <v>0</v>
      </c>
      <c r="K39" s="639">
        <f>IF(ISNA(D39),0,IF(D39="MX",J39*1,J39*C39))</f>
        <v>0</v>
      </c>
      <c r="L39" s="640">
        <v>0.44</v>
      </c>
      <c r="M39" s="641">
        <f t="shared" si="2"/>
        <v>0</v>
      </c>
      <c r="N39" s="639">
        <f>M39*VLOOKUP($B$9,'Base Costs'!$A$32:$B$37,2,FALSE)</f>
        <v>0</v>
      </c>
      <c r="O39" s="642">
        <f t="shared" si="3"/>
        <v>0</v>
      </c>
      <c r="S39" s="596"/>
      <c r="Y39" s="575"/>
    </row>
    <row r="40" spans="1:26" ht="15" hidden="1" customHeight="1" outlineLevel="1" x14ac:dyDescent="0.15">
      <c r="B40" s="204" t="s">
        <v>83</v>
      </c>
      <c r="C40" s="643">
        <v>0</v>
      </c>
      <c r="D40" s="735" t="str">
        <f>VLOOKUP(D31,'Base Costs'!$A$39:$C$58,3,FALSE)</f>
        <v>PSU</v>
      </c>
      <c r="E40" s="660" t="str">
        <f>IF(C40=0,0,IF(D40="PSU",ROUND(I31/C40,3),""))&amp; " m³/s per filter"</f>
        <v>0 m³/s per filter</v>
      </c>
      <c r="F40" s="660" t="str">
        <f>IF(C40=0," Pa",ROUND((((I31*3600)/(C40*I28))^2),1)+20&amp; " Pa")</f>
        <v xml:space="preserve"> Pa</v>
      </c>
      <c r="G40" s="661" t="str">
        <f>IF(ISNUMBER(SEARCH("KSA",$D40)),$C40*0.25, "")</f>
        <v/>
      </c>
      <c r="H40" s="949" t="str">
        <f>IF(ISNUMBER(SEARCH("MUAP",$D31)),0.225*($F31/1000),IF(ISNUMBER(SEARCH("SPECIAL",$D31)),0.225*($F31/1000),(IF(ISNUMBER(SEARCH("F",$D31)),0.225*($F31/1000),""))))</f>
        <v/>
      </c>
      <c r="I40" s="943"/>
      <c r="J40" s="638">
        <f>IF(ISNA(D40),0,(VLOOKUP(D40,'Base Costs'!$Q$4:$R$13,2,FALSE)))</f>
        <v>112.678</v>
      </c>
      <c r="K40" s="639">
        <f>IF(ISNA(D40),0,IF(D40="MX",J40*1,J40*C40))</f>
        <v>0</v>
      </c>
      <c r="L40" s="640">
        <v>0.44</v>
      </c>
      <c r="M40" s="641">
        <f t="shared" si="2"/>
        <v>0</v>
      </c>
      <c r="N40" s="639">
        <f>M40*VLOOKUP($B$9,'Base Costs'!$A$32:$B$37,2,FALSE)</f>
        <v>0</v>
      </c>
      <c r="O40" s="642">
        <f t="shared" si="3"/>
        <v>0</v>
      </c>
      <c r="S40" s="596"/>
      <c r="Y40" s="575"/>
    </row>
    <row r="41" spans="1:26" ht="15" hidden="1" customHeight="1" outlineLevel="1" x14ac:dyDescent="0.15">
      <c r="A41" s="568">
        <v>107</v>
      </c>
      <c r="B41" s="662" t="str">
        <f>IF(ISNUMBER(SEARCH("UV",D31)),"UV-C COMPONENTS",IF(ISNUMBER(SEARCH("CMW",D31)),"WATERWASH COMPONENTS",""))</f>
        <v/>
      </c>
      <c r="C41" s="663" t="str">
        <f>IF(H29=0,"UVR",IF(I31=0,"UVR",IF(I41&gt;0,("UVR")&amp;(INDEX('Base Costs'!$AH$5:$AI$10,(MATCH((I31/H29),'Base Costs'!$AI$5:$AI$10,-1)),1))&amp;("-")&amp;(H29),"UVR")))</f>
        <v>UVR</v>
      </c>
      <c r="D41" s="671" t="str">
        <f>VLOOKUP(C41,'Base Costs'!$Z$4:$AF$77,7,FALSE)&amp;" m³/s"</f>
        <v xml:space="preserve"> m³/s</v>
      </c>
      <c r="E41" s="665" t="str">
        <f>IF(ISNUMBER(SEARCH("L",C41)),"LONG RACK IN SECTION","SHORTRACK")</f>
        <v>SHORTRACK</v>
      </c>
      <c r="F41" s="666" t="str">
        <f>IF(ISNUMBER(SEARCH("L",C41)),ROUND(F31/H31,1)&amp;" mm","")</f>
        <v/>
      </c>
      <c r="G41" s="656"/>
      <c r="H41" s="656"/>
      <c r="I41" s="653">
        <f>IF(ISNUMBER(SEARCH("UV",D31)),1, 0)</f>
        <v>0</v>
      </c>
      <c r="J41" s="638">
        <f>IF(ISNA(C41),0,VLOOKUP(C41,'Base Costs'!$Z$4:$AF$77,2,FALSE))</f>
        <v>0</v>
      </c>
      <c r="K41" s="639">
        <f>J41*1</f>
        <v>0</v>
      </c>
      <c r="L41" s="640">
        <v>0.44</v>
      </c>
      <c r="M41" s="641">
        <f t="shared" si="2"/>
        <v>0</v>
      </c>
      <c r="N41" s="639">
        <f>M41*VLOOKUP($B$9,'Base Costs'!$A$32:$B$37,2,FALSE)</f>
        <v>0</v>
      </c>
      <c r="O41" s="642">
        <f t="shared" si="3"/>
        <v>0</v>
      </c>
      <c r="S41" s="596"/>
      <c r="Y41" s="575"/>
    </row>
    <row r="42" spans="1:26" ht="15" hidden="1" customHeight="1" outlineLevel="1" x14ac:dyDescent="0.15">
      <c r="B42" s="633" t="str">
        <f>IF(ISNUMBER(SEARCH("UV",D31)),"UV-C 2ND FILTER",IF(ISNUMBER(SEARCH("CMW",D31)),"CONTROL PANEL",""))</f>
        <v/>
      </c>
      <c r="C42" s="660" t="s">
        <v>84</v>
      </c>
      <c r="D42" s="662" t="str">
        <f>IF(ISNUMBER(SEARCH("CP1S",$C42)),"Up to 12m of canopy","")</f>
        <v/>
      </c>
      <c r="E42" s="662" t="str">
        <f>IF(ISNUMBER(SEARCH("CMW",$D31)),"CWS REQUIREMENT @ 2Bar","")</f>
        <v/>
      </c>
      <c r="F42" s="667" t="str">
        <f>IF(ISNUMBER(SEARCH("CMW",$D31)),$F31/1000*0.02&amp;" L/S","")</f>
        <v/>
      </c>
      <c r="G42" s="656"/>
      <c r="H42" s="652"/>
      <c r="I42" s="653">
        <f>C39</f>
        <v>0</v>
      </c>
      <c r="J42" s="638">
        <f>IF(ISNUMBER(SEARCH("CMW",D31)),VLOOKUP(C42,CCBASE!$A$81:$B$85,2,FALSE),(IF(I41&gt;0,'Base Costs'!$R$7,0)))</f>
        <v>0</v>
      </c>
      <c r="K42" s="639">
        <f>J42*C39</f>
        <v>0</v>
      </c>
      <c r="L42" s="640">
        <v>0.44</v>
      </c>
      <c r="M42" s="641">
        <f t="shared" si="2"/>
        <v>0</v>
      </c>
      <c r="N42" s="639">
        <f>M42*VLOOKUP($B$9,'Base Costs'!$A$32:$B$37,2,FALSE)</f>
        <v>0</v>
      </c>
      <c r="O42" s="642">
        <f t="shared" si="3"/>
        <v>0</v>
      </c>
      <c r="P42" s="720"/>
      <c r="S42" s="596"/>
      <c r="Y42" s="575"/>
    </row>
    <row r="43" spans="1:26" ht="15" hidden="1" customHeight="1" outlineLevel="1" x14ac:dyDescent="0.15">
      <c r="A43" s="568">
        <v>285</v>
      </c>
      <c r="B43" s="633" t="str">
        <f>IF(ISNUMBER(SEARCH("UV",D31)),"UV-C WORKSHOP WIRING",IF(ISNUMBER(SEARCH("CMW",D31)),"W/W PODS",""))</f>
        <v/>
      </c>
      <c r="C43" s="660" t="s">
        <v>85</v>
      </c>
      <c r="D43" s="660">
        <v>0</v>
      </c>
      <c r="E43" s="662" t="str">
        <f>IF(ISNUMBER(SEARCH("CMW",$D31)),"HWS REQUIREMENT @ 60°C ","")</f>
        <v/>
      </c>
      <c r="F43" s="668" t="str">
        <f>IF(ISNUMBER(SEARCH("CMW",$D31)),$F31/1000*0.103&amp;" L/S","")</f>
        <v/>
      </c>
      <c r="G43" s="656"/>
      <c r="H43" s="652"/>
      <c r="I43" s="653">
        <f>IF(I41&gt;0,H29,0)</f>
        <v>0</v>
      </c>
      <c r="J43" s="638">
        <f>IF(ISNUMBER(SEARCH("CMW",D31)),VLOOKUP(C43,'Base Costs'!$Q$35:$R$45,2,FALSE),IF(I43=0,0,36*1.03))</f>
        <v>0</v>
      </c>
      <c r="K43" s="639">
        <f>IF(ISNUMBER(SEARCH("CMW",D31)),J43*D43,J43*H29)</f>
        <v>0</v>
      </c>
      <c r="L43" s="640">
        <v>0.44</v>
      </c>
      <c r="M43" s="641">
        <f t="shared" si="2"/>
        <v>0</v>
      </c>
      <c r="N43" s="639">
        <f>M43*VLOOKUP($B$9,'Base Costs'!$A$32:$B$37,2,FALSE)</f>
        <v>0</v>
      </c>
      <c r="O43" s="642">
        <f t="shared" si="3"/>
        <v>0</v>
      </c>
      <c r="S43" s="596"/>
      <c r="Y43" s="575"/>
    </row>
    <row r="44" spans="1:26" ht="15" hidden="1" customHeight="1" outlineLevel="1" x14ac:dyDescent="0.15">
      <c r="A44" s="568">
        <v>286</v>
      </c>
      <c r="B44" s="633" t="str">
        <f>IF(ISNUMBER(SEARCH("CMW",$D31)),"CWS/HWS PIPEWORK UP TO 5M",IF(ISNUMBER(SEARCH("UV",$D31)),"MU5 INTERFACE", ""))</f>
        <v/>
      </c>
      <c r="C44" s="660">
        <v>1</v>
      </c>
      <c r="D44" s="669"/>
      <c r="E44" s="662" t="str">
        <f>IF(ISNUMBER(SEARCH("CMW",$D31)),"HW STORAGE 3m wash","")</f>
        <v/>
      </c>
      <c r="F44" s="667" t="str">
        <f>IF(ISNUMBER(SEARCH("CMW",$D31)),($F31/1000)*0.103*180&amp;" L","")</f>
        <v/>
      </c>
      <c r="G44" s="651"/>
      <c r="H44" s="652"/>
      <c r="I44" s="653">
        <f>IF(I41=0,0,1)</f>
        <v>0</v>
      </c>
      <c r="J44" s="638">
        <f>IF(B44="CWS/HWS PIPEWORK UP TO 5M",CCBASE!$B$65,IF(I44=0,0,100*1.44))</f>
        <v>0</v>
      </c>
      <c r="K44" s="639">
        <f>J44*C44</f>
        <v>0</v>
      </c>
      <c r="L44" s="640">
        <v>0.44</v>
      </c>
      <c r="M44" s="641">
        <f t="shared" si="2"/>
        <v>0</v>
      </c>
      <c r="N44" s="639">
        <f>M44*VLOOKUP($B$9,'Base Costs'!$A$32:$B$37,2,FALSE)</f>
        <v>0</v>
      </c>
      <c r="O44" s="642">
        <f t="shared" si="3"/>
        <v>0</v>
      </c>
      <c r="S44" s="596"/>
      <c r="Y44" s="575"/>
    </row>
    <row r="45" spans="1:26" ht="15" customHeight="1" collapsed="1" x14ac:dyDescent="0.15">
      <c r="B45" s="616"/>
      <c r="C45" s="672"/>
      <c r="E45" s="672"/>
      <c r="F45" s="672"/>
      <c r="G45" s="618" t="s">
        <v>23</v>
      </c>
      <c r="H45" s="617"/>
      <c r="I45" s="618">
        <f>IF(ISNUMBER(SEARCH("UV",D48)),49.7,71.75)</f>
        <v>71.75</v>
      </c>
      <c r="J45" s="619"/>
      <c r="K45" s="673"/>
      <c r="L45" s="674"/>
      <c r="M45" s="673"/>
      <c r="N45" s="673"/>
      <c r="S45" s="596"/>
      <c r="Y45" s="575"/>
    </row>
    <row r="46" spans="1:26" s="576" customFormat="1" ht="15" customHeight="1" x14ac:dyDescent="0.15">
      <c r="A46" s="568"/>
      <c r="B46" s="176" t="s">
        <v>86</v>
      </c>
      <c r="C46" s="622">
        <f>IF(H46&lt;1,0,(((VLOOKUP(G46,CC!$D$2:$F$670,3,FALSE))*H46)+IF(ISNUMBER(SEARCH("CMW",D48)),VLOOKUP(C59,CCBASE!$A$81:$C$85,3,FALSE),0)+(VLOOKUP(C51,CCBASE!$A$53:$C$73,3,FALSE)*D51)+(VLOOKUP(C52,CCBASE!$A$53:$C$73,3,FALSE)*D52))&amp;" HRS")</f>
        <v>0</v>
      </c>
      <c r="D46" s="623" t="str">
        <f>D48</f>
        <v>CANOPY TYPE</v>
      </c>
      <c r="E46" s="604">
        <f>CEILING(IF(C48="WALL",E48, (E48/2)),250)</f>
        <v>0</v>
      </c>
      <c r="F46" s="604">
        <f>IF(H46&lt;1,0,CEILING((F48-100)/H48,250))</f>
        <v>0</v>
      </c>
      <c r="G46" s="623" t="str">
        <f>D46&amp;F46&amp;E46</f>
        <v>CANOPY TYPE00</v>
      </c>
      <c r="H46" s="622">
        <f>IF(E48=0,0,IF(F48=0,0,(E48/(IF(C48="WALL",E48,(E48/2)))*H48)))</f>
        <v>0</v>
      </c>
      <c r="I46" s="622" t="str">
        <f>I48&amp;" m³/s"</f>
        <v xml:space="preserve"> m³/s</v>
      </c>
      <c r="J46" s="624"/>
      <c r="K46" s="625">
        <f>SUBTOTAL(9,K48:K61)</f>
        <v>0</v>
      </c>
      <c r="L46" s="606" t="str">
        <f>IF(K46=0,"-",O46/M46)</f>
        <v>-</v>
      </c>
      <c r="M46" s="625">
        <f>SUBTOTAL(9,M48:M61)</f>
        <v>0</v>
      </c>
      <c r="N46" s="607">
        <f>SUBTOTAL(9,N48:N61)</f>
        <v>0</v>
      </c>
      <c r="O46" s="625">
        <f>SUBTOTAL(9,O48:O61)</f>
        <v>0</v>
      </c>
      <c r="P46" s="575"/>
      <c r="Q46" s="575"/>
      <c r="R46" s="575"/>
      <c r="S46" s="615"/>
      <c r="T46" s="575"/>
      <c r="X46" s="575"/>
      <c r="Y46" s="575"/>
      <c r="Z46" s="575"/>
    </row>
    <row r="47" spans="1:26" ht="15" hidden="1" customHeight="1" outlineLevel="1" x14ac:dyDescent="0.15">
      <c r="B47" s="626"/>
      <c r="C47" s="627" t="s">
        <v>54</v>
      </c>
      <c r="D47" s="628" t="s">
        <v>55</v>
      </c>
      <c r="E47" s="627" t="s">
        <v>56</v>
      </c>
      <c r="F47" s="627" t="s">
        <v>57</v>
      </c>
      <c r="G47" s="627" t="s">
        <v>58</v>
      </c>
      <c r="H47" s="627" t="s">
        <v>59</v>
      </c>
      <c r="I47" s="628" t="s">
        <v>60</v>
      </c>
      <c r="J47" s="629"/>
      <c r="K47" s="630"/>
      <c r="L47" s="630"/>
      <c r="M47" s="631"/>
      <c r="N47" s="632"/>
      <c r="O47" s="614"/>
      <c r="S47" s="596"/>
      <c r="Y47" s="575"/>
    </row>
    <row r="48" spans="1:26" ht="15" hidden="1" customHeight="1" outlineLevel="1" x14ac:dyDescent="0.2">
      <c r="A48" s="568">
        <v>210</v>
      </c>
      <c r="B48" s="633" t="s">
        <v>61</v>
      </c>
      <c r="C48" s="634" t="s">
        <v>62</v>
      </c>
      <c r="D48" s="635" t="s">
        <v>87</v>
      </c>
      <c r="E48" s="636"/>
      <c r="F48" s="636"/>
      <c r="G48" s="636"/>
      <c r="H48" s="637"/>
      <c r="I48" s="636"/>
      <c r="J48" s="638">
        <f>IF(ISNA(C46),0,IF(F46&gt;3000,0,(IF(H46&lt;1,0,((VLOOKUP(G46,CC!$D$2:$E$670,2,FALSE))*H46)+((VLOOKUP(G46,CC!$D$2:$AD$670,17,FALSE)*(H46/H48)))))))</f>
        <v>0</v>
      </c>
      <c r="K48" s="639">
        <f>J48*1</f>
        <v>0</v>
      </c>
      <c r="L48" s="640">
        <v>0.44</v>
      </c>
      <c r="M48" s="641">
        <f t="shared" ref="M48:M61" si="4">K48/(1-L48)*(1+$C$9)</f>
        <v>0</v>
      </c>
      <c r="N48" s="639">
        <f>M48*VLOOKUP($B$9,'Base Costs'!$A$32:$B$37,2,FALSE)</f>
        <v>0</v>
      </c>
      <c r="O48" s="642">
        <f t="shared" ref="O48:O61" si="5">M48-K48</f>
        <v>0</v>
      </c>
      <c r="S48" s="596"/>
      <c r="Y48" s="575"/>
    </row>
    <row r="49" spans="1:26" ht="15" hidden="1" customHeight="1" outlineLevel="1" x14ac:dyDescent="0.15">
      <c r="A49" s="568">
        <v>104</v>
      </c>
      <c r="B49" s="633" t="s">
        <v>64</v>
      </c>
      <c r="C49" s="635" t="s">
        <v>65</v>
      </c>
      <c r="D49" s="736"/>
      <c r="E49" s="644"/>
      <c r="F49" s="645"/>
      <c r="G49" s="646"/>
      <c r="H49" s="570"/>
      <c r="I49" s="570"/>
      <c r="J49" s="638">
        <f>IF(ISNA(C46),0,IF(D49=0,0,IF(C49="FLO",VLOOKUP(E49,'Base Costs'!$M$4:$N$14,2,FALSE),IF(C49="LED STRIP",VLOOKUP(E49,'Base Costs'!$M$4:$N$14,2,FALSE),(VLOOKUP(C49,'Base Costs'!$M$4:$N$14,2,FALSE))))))</f>
        <v>0</v>
      </c>
      <c r="K49" s="639">
        <f>J49*D49</f>
        <v>0</v>
      </c>
      <c r="L49" s="640">
        <v>0.31</v>
      </c>
      <c r="M49" s="641">
        <f t="shared" si="4"/>
        <v>0</v>
      </c>
      <c r="N49" s="639">
        <f>M49*VLOOKUP($B$9,'Base Costs'!$A$32:$B$37,2,FALSE)</f>
        <v>0</v>
      </c>
      <c r="O49" s="642">
        <f t="shared" si="5"/>
        <v>0</v>
      </c>
      <c r="P49" s="647"/>
      <c r="S49" s="596"/>
      <c r="Y49" s="575"/>
    </row>
    <row r="50" spans="1:26" ht="15" hidden="1" customHeight="1" outlineLevel="1" x14ac:dyDescent="0.15">
      <c r="A50" s="568">
        <v>234</v>
      </c>
      <c r="B50" s="204" t="s">
        <v>66</v>
      </c>
      <c r="C50" s="654" t="s">
        <v>67</v>
      </c>
      <c r="D50" s="637"/>
      <c r="E50" s="655" t="str">
        <f>IF(C50="","",VLOOKUP(C50,CCBASE!$A$53:$D$73,4,FALSE))</f>
        <v/>
      </c>
      <c r="F50" s="656"/>
      <c r="G50" s="651"/>
      <c r="H50" s="652"/>
      <c r="I50" s="657"/>
      <c r="J50" s="638">
        <f>IF(C50="",0,VLOOKUP(C50,CCBASE!$A$53:$C$73,2,FALSE))</f>
        <v>0</v>
      </c>
      <c r="K50" s="639">
        <f>J50*D50</f>
        <v>0</v>
      </c>
      <c r="L50" s="640">
        <v>0.44</v>
      </c>
      <c r="M50" s="641">
        <f t="shared" si="4"/>
        <v>0</v>
      </c>
      <c r="N50" s="639">
        <f>M50*VLOOKUP($B$9,'Base Costs'!$A$32:$B$37,2,FALSE)</f>
        <v>0</v>
      </c>
      <c r="O50" s="642">
        <f t="shared" si="5"/>
        <v>0</v>
      </c>
      <c r="S50" s="596"/>
      <c r="Y50" s="575"/>
    </row>
    <row r="51" spans="1:26" ht="15" hidden="1" customHeight="1" outlineLevel="1" x14ac:dyDescent="0.15">
      <c r="B51" s="633" t="s">
        <v>66</v>
      </c>
      <c r="C51" s="654" t="s">
        <v>67</v>
      </c>
      <c r="D51" s="637"/>
      <c r="E51" s="655" t="str">
        <f>IF(C51="","",VLOOKUP(C51,CCBASE!$A$53:$D$73,4,FALSE))</f>
        <v/>
      </c>
      <c r="F51" s="656"/>
      <c r="G51" s="651"/>
      <c r="H51" s="652"/>
      <c r="I51" s="657"/>
      <c r="J51" s="638">
        <f>IF(C51="",0,VLOOKUP(C51,CCBASE!$A$53:$C$73,2,FALSE))</f>
        <v>0</v>
      </c>
      <c r="K51" s="639">
        <f>J51*D51</f>
        <v>0</v>
      </c>
      <c r="L51" s="640">
        <v>0.44</v>
      </c>
      <c r="M51" s="641">
        <f t="shared" si="4"/>
        <v>0</v>
      </c>
      <c r="N51" s="639">
        <f>M51*VLOOKUP($B$9,'Base Costs'!$A$32:$B$37,2,FALSE)</f>
        <v>0</v>
      </c>
      <c r="O51" s="642">
        <f t="shared" si="5"/>
        <v>0</v>
      </c>
      <c r="S51" s="596"/>
      <c r="Y51" s="575"/>
    </row>
    <row r="52" spans="1:26" ht="15" hidden="1" customHeight="1" outlineLevel="1" x14ac:dyDescent="0.15">
      <c r="B52" s="856" t="s">
        <v>66</v>
      </c>
      <c r="C52" s="857" t="s">
        <v>69</v>
      </c>
      <c r="D52" s="858"/>
      <c r="E52" s="859" t="str">
        <f>IF(C52="","",VLOOKUP(C52,CCBASE!$A$53:$D$73,4,FALSE))</f>
        <v>SECTION(S) OF CANOPY</v>
      </c>
      <c r="F52" s="860"/>
      <c r="G52" s="855"/>
      <c r="H52" s="861"/>
      <c r="I52" s="862"/>
      <c r="J52" s="863">
        <f>IF(C52="",0,VLOOKUP(C52,CCBASE!$A$53:$C$73,2,FALSE))</f>
        <v>50</v>
      </c>
      <c r="K52" s="864">
        <f>J52*D52</f>
        <v>0</v>
      </c>
      <c r="L52" s="865">
        <v>0.44</v>
      </c>
      <c r="M52" s="866">
        <f t="shared" si="4"/>
        <v>0</v>
      </c>
      <c r="N52" s="864">
        <f>M52*VLOOKUP($B$9,'Base Costs'!$A$32:$B$37,2,FALSE)</f>
        <v>0</v>
      </c>
      <c r="O52" s="867">
        <f t="shared" si="5"/>
        <v>0</v>
      </c>
      <c r="P52" s="868" t="s">
        <v>70</v>
      </c>
      <c r="S52" s="596"/>
      <c r="Y52" s="575"/>
    </row>
    <row r="53" spans="1:26" ht="15" hidden="1" customHeight="1" outlineLevel="1" x14ac:dyDescent="0.15">
      <c r="A53" s="568">
        <v>289</v>
      </c>
      <c r="B53" s="633" t="s">
        <v>71</v>
      </c>
      <c r="C53" s="654" t="s">
        <v>72</v>
      </c>
      <c r="D53" s="658">
        <f>ROUNDUP($F48/1000,0)</f>
        <v>0</v>
      </c>
      <c r="E53" s="950" t="s">
        <v>73</v>
      </c>
      <c r="F53" s="941"/>
      <c r="G53" s="656"/>
      <c r="H53" s="652"/>
      <c r="I53" s="657"/>
      <c r="J53" s="638">
        <f>IF(D53=0,0,VLOOKUP(C53,'Base Costs'!$A$19:$B$22,2,FALSE))</f>
        <v>0</v>
      </c>
      <c r="K53" s="639">
        <f>J53*D53</f>
        <v>0</v>
      </c>
      <c r="L53" s="640">
        <v>0.44</v>
      </c>
      <c r="M53" s="641">
        <f t="shared" si="4"/>
        <v>0</v>
      </c>
      <c r="N53" s="639">
        <f>M53*VLOOKUP($B$9,'Base Costs'!$A$32:$B$37,2,FALSE)</f>
        <v>0</v>
      </c>
      <c r="O53" s="642">
        <f t="shared" si="5"/>
        <v>0</v>
      </c>
      <c r="S53" s="596"/>
      <c r="Y53" s="575"/>
    </row>
    <row r="54" spans="1:26" ht="15" hidden="1" customHeight="1" outlineLevel="1" x14ac:dyDescent="0.15">
      <c r="A54" s="568">
        <v>242</v>
      </c>
      <c r="B54" s="633" t="s">
        <v>77</v>
      </c>
      <c r="C54" s="654"/>
      <c r="D54" s="644" t="s">
        <v>78</v>
      </c>
      <c r="E54" s="651" t="s">
        <v>79</v>
      </c>
      <c r="F54" s="650"/>
      <c r="G54" s="651"/>
      <c r="H54" s="652"/>
      <c r="I54" s="657"/>
      <c r="J54" s="638">
        <f>IF(C54=0,0,'Base Costs'!$B$26)</f>
        <v>0</v>
      </c>
      <c r="K54" s="639">
        <f>J54*C54</f>
        <v>0</v>
      </c>
      <c r="L54" s="640">
        <v>0.44</v>
      </c>
      <c r="M54" s="641">
        <f t="shared" si="4"/>
        <v>0</v>
      </c>
      <c r="N54" s="639">
        <f>M54*VLOOKUP($B$9,'Base Costs'!$A$32:$B$37,2,FALSE)</f>
        <v>0</v>
      </c>
      <c r="O54" s="642">
        <f t="shared" si="5"/>
        <v>0</v>
      </c>
      <c r="P54"/>
      <c r="Q54"/>
      <c r="S54" s="596"/>
      <c r="Y54" s="575"/>
    </row>
    <row r="55" spans="1:26" ht="15" hidden="1" customHeight="1" outlineLevel="1" x14ac:dyDescent="0.15">
      <c r="A55" s="568">
        <v>220</v>
      </c>
      <c r="B55" s="633" t="s">
        <v>80</v>
      </c>
      <c r="C55" s="654"/>
      <c r="D55" s="644" t="s">
        <v>81</v>
      </c>
      <c r="E55" s="650"/>
      <c r="F55" s="650"/>
      <c r="G55" s="659" t="str">
        <f>IF(ISNUMBER(SEARCH("KSA",$D56)),"MAX. EXTRACT (m³/s)", "")</f>
        <v/>
      </c>
      <c r="H55" s="942" t="str">
        <f>IF(ISNUMBER(SEARCH("MUAP",$D48)),"MAX.  SUPPLY (m³/s)",IF(ISNUMBER(SEARCH("SPECIAL",$D48)),"MAX.  SUPPLY (m³/s)",(IF(ISNUMBER(SEARCH("F",$D48)),"MAX.  SUPPLY (m³/s)",""))))</f>
        <v/>
      </c>
      <c r="I55" s="943"/>
      <c r="J55" s="638">
        <f>IF(C55=0,0,'Base Costs'!$B$29)</f>
        <v>0</v>
      </c>
      <c r="K55" s="639">
        <f>J55*C55</f>
        <v>0</v>
      </c>
      <c r="L55" s="640">
        <v>0.44</v>
      </c>
      <c r="M55" s="641">
        <f t="shared" si="4"/>
        <v>0</v>
      </c>
      <c r="N55" s="639">
        <f>M55*VLOOKUP($B$9,'Base Costs'!$A$32:$B$37,2,FALSE)</f>
        <v>0</v>
      </c>
      <c r="O55" s="642">
        <f t="shared" si="5"/>
        <v>0</v>
      </c>
      <c r="S55" s="596"/>
      <c r="Y55" s="575"/>
    </row>
    <row r="56" spans="1:26" ht="15" hidden="1" customHeight="1" outlineLevel="1" x14ac:dyDescent="0.15">
      <c r="A56" s="568">
        <v>103</v>
      </c>
      <c r="B56" s="633" t="s">
        <v>82</v>
      </c>
      <c r="C56" s="643">
        <f>IF(ISNUMBER(SEARCH("CMW",D48)),1,IF(F46=0,0,(ROUNDDOWN(((((F48-(100+(50*H46))))/H48)/500),0)*H46)))</f>
        <v>0</v>
      </c>
      <c r="D56" s="644" t="str">
        <f>VLOOKUP(D48,'Base Costs'!$A$39:$B$58,2,FALSE)</f>
        <v>FILTER TYPE</v>
      </c>
      <c r="E56" s="660" t="str">
        <f>IF(C56=0,0,IF(D56="KSA",ROUND(I48/C56,3),""))&amp; "  m³/s per filter"</f>
        <v>0  m³/s per filter</v>
      </c>
      <c r="F56" s="660" t="str">
        <f>IF(C56=0," Pa",ROUND((((I48*3600)/(C56*I45))^2),1)+20&amp; " Pa")</f>
        <v xml:space="preserve"> Pa</v>
      </c>
      <c r="G56" s="661" t="str">
        <f>IF(ISNUMBER(SEARCH("KSA",$D56)),$C56*0.25, "")</f>
        <v/>
      </c>
      <c r="H56" s="949" t="str">
        <f>IF(ISNUMBER(SEARCH("MUAP",$D48)),0.225*($F48/1000),IF(ISNUMBER(SEARCH("SPECIAL",$D48)),0.225*($F48/1000),(IF(ISNUMBER(SEARCH("F",$D48)),0.225*($F48/1000),""))))</f>
        <v/>
      </c>
      <c r="I56" s="943"/>
      <c r="J56" s="638">
        <f>IF(ISNA(D56),0,(VLOOKUP(D56,'Base Costs'!$Q$4:$R$11,2,FALSE)))</f>
        <v>0</v>
      </c>
      <c r="K56" s="639">
        <f>IF(ISNA(D56),0,IF(D56="MX",J56*1,J56*C56))</f>
        <v>0</v>
      </c>
      <c r="L56" s="640">
        <v>0.44</v>
      </c>
      <c r="M56" s="641">
        <f t="shared" si="4"/>
        <v>0</v>
      </c>
      <c r="N56" s="639">
        <f>M56*VLOOKUP($B$9,'Base Costs'!$A$32:$B$37,2,FALSE)</f>
        <v>0</v>
      </c>
      <c r="O56" s="642">
        <f t="shared" si="5"/>
        <v>0</v>
      </c>
      <c r="S56" s="596"/>
      <c r="Y56" s="575"/>
    </row>
    <row r="57" spans="1:26" ht="15" hidden="1" customHeight="1" outlineLevel="1" x14ac:dyDescent="0.15">
      <c r="B57" s="204" t="s">
        <v>83</v>
      </c>
      <c r="C57" s="643">
        <v>0</v>
      </c>
      <c r="D57" s="735" t="str">
        <f>VLOOKUP(D48,'Base Costs'!$A$39:$C$58,3,FALSE)</f>
        <v>PSU</v>
      </c>
      <c r="E57" s="660" t="str">
        <f>IF(C57=0,0,IF(D57="PSU",ROUND(I48/C57,3),""))&amp; " m³/s per filter"</f>
        <v>0 m³/s per filter</v>
      </c>
      <c r="F57" s="660" t="str">
        <f>IF(C57=0," Pa",ROUND((((I48*3600)/(C57*I45))^2),1)+20&amp; " Pa")</f>
        <v xml:space="preserve"> Pa</v>
      </c>
      <c r="G57" s="661" t="str">
        <f>IF(ISNUMBER(SEARCH("KSA",$D57)),$C57*0.25, "")</f>
        <v/>
      </c>
      <c r="H57" s="949" t="str">
        <f>IF(ISNUMBER(SEARCH("MUAP",$D48)),0.225*($F48/1000),IF(ISNUMBER(SEARCH("SPECIAL",$D48)),0.225*($F48/1000),(IF(ISNUMBER(SEARCH("F",$D48)),0.225*($F48/1000),""))))</f>
        <v/>
      </c>
      <c r="I57" s="943"/>
      <c r="J57" s="638">
        <f>IF(ISNA(D57),0,(VLOOKUP(D57,'Base Costs'!$Q$4:$R$13,2,FALSE)))</f>
        <v>112.678</v>
      </c>
      <c r="K57" s="639">
        <f>IF(ISNA(D57),0,IF(D57="MX",J57*1,J57*C57))</f>
        <v>0</v>
      </c>
      <c r="L57" s="640">
        <v>0.44</v>
      </c>
      <c r="M57" s="641">
        <f t="shared" si="4"/>
        <v>0</v>
      </c>
      <c r="N57" s="639">
        <f>M57*VLOOKUP($B$9,'Base Costs'!$A$32:$B$37,2,FALSE)</f>
        <v>0</v>
      </c>
      <c r="O57" s="642">
        <f t="shared" si="5"/>
        <v>0</v>
      </c>
      <c r="S57" s="596"/>
      <c r="Y57" s="575"/>
    </row>
    <row r="58" spans="1:26" ht="15" hidden="1" customHeight="1" outlineLevel="1" x14ac:dyDescent="0.15">
      <c r="A58" s="568">
        <v>107</v>
      </c>
      <c r="B58" s="662" t="str">
        <f>IF(ISNUMBER(SEARCH("UV",D48)),"UV-C COMPONENTS",IF(ISNUMBER(SEARCH("CMW",D48)),"WATERWASH COMPONENTS",""))</f>
        <v/>
      </c>
      <c r="C58" s="663" t="str">
        <f>IF(H46=0,"UVR",IF(I48=0,"UVR",IF(I58&gt;0,("UVR")&amp;(INDEX('Base Costs'!$AH$5:$AI$10,(MATCH((I48/H46),'Base Costs'!$AI$5:$AI$10,-1)),1))&amp;("-")&amp;(H46),"UVR")))</f>
        <v>UVR</v>
      </c>
      <c r="D58" s="671" t="str">
        <f>VLOOKUP(C58,'Base Costs'!$Z$4:$AF$77,7,FALSE)&amp;" m³/s"</f>
        <v xml:space="preserve"> m³/s</v>
      </c>
      <c r="E58" s="665" t="str">
        <f>IF(ISNUMBER(SEARCH("L",C58)),"LONG RACK IN SECTION","SHORTRACK")</f>
        <v>SHORTRACK</v>
      </c>
      <c r="F58" s="666" t="str">
        <f>IF(ISNUMBER(SEARCH("L",C58)),ROUND(F48/H48,1)&amp;" mm","")</f>
        <v/>
      </c>
      <c r="G58" s="656"/>
      <c r="H58" s="656"/>
      <c r="I58" s="653">
        <f>IF(ISNUMBER(SEARCH("UV",D48)),1, 0)</f>
        <v>0</v>
      </c>
      <c r="J58" s="638">
        <f>IF(ISNA(C58),0,VLOOKUP(C58,'Base Costs'!$Z$4:$AF$77,2,FALSE))</f>
        <v>0</v>
      </c>
      <c r="K58" s="639">
        <f>J58*1</f>
        <v>0</v>
      </c>
      <c r="L58" s="640">
        <v>0.44</v>
      </c>
      <c r="M58" s="641">
        <f t="shared" si="4"/>
        <v>0</v>
      </c>
      <c r="N58" s="639">
        <f>M58*VLOOKUP($B$9,'Base Costs'!$A$32:$B$37,2,FALSE)</f>
        <v>0</v>
      </c>
      <c r="O58" s="642">
        <f t="shared" si="5"/>
        <v>0</v>
      </c>
      <c r="S58" s="596"/>
      <c r="Y58" s="575"/>
    </row>
    <row r="59" spans="1:26" ht="15" hidden="1" customHeight="1" outlineLevel="1" x14ac:dyDescent="0.15">
      <c r="B59" s="633" t="str">
        <f>IF(ISNUMBER(SEARCH("UV",D48)),"UV-C 2ND FILTER",IF(ISNUMBER(SEARCH("CMW",D48)),"CONTROL PANEL",""))</f>
        <v/>
      </c>
      <c r="C59" s="660" t="s">
        <v>84</v>
      </c>
      <c r="D59" s="662" t="str">
        <f>IF(ISNUMBER(SEARCH("CP1S",$C59)),"Up to 12m of canopy","")</f>
        <v/>
      </c>
      <c r="E59" s="662" t="str">
        <f>IF(ISNUMBER(SEARCH("CMW",$D48)),"CWS REQUIREMENT @ 2Bar","")</f>
        <v/>
      </c>
      <c r="F59" s="667" t="str">
        <f>IF(ISNUMBER(SEARCH("CMW",$D48)),$F48/1000*0.02&amp;" L/S","")</f>
        <v/>
      </c>
      <c r="G59" s="656"/>
      <c r="H59" s="652"/>
      <c r="I59" s="653">
        <f>C56</f>
        <v>0</v>
      </c>
      <c r="J59" s="638">
        <f>IF(ISNUMBER(SEARCH("CMW",D48)),VLOOKUP(C59,CCBASE!$A$81:$B$85,2,FALSE),(IF(I58&gt;0,'Base Costs'!$R$7,0)))</f>
        <v>0</v>
      </c>
      <c r="K59" s="639">
        <f>J59*C56</f>
        <v>0</v>
      </c>
      <c r="L59" s="640">
        <v>0.44</v>
      </c>
      <c r="M59" s="641">
        <f t="shared" si="4"/>
        <v>0</v>
      </c>
      <c r="N59" s="639">
        <f>M59*VLOOKUP($B$9,'Base Costs'!$A$32:$B$37,2,FALSE)</f>
        <v>0</v>
      </c>
      <c r="O59" s="642">
        <f t="shared" si="5"/>
        <v>0</v>
      </c>
      <c r="S59" s="596"/>
      <c r="Y59" s="575"/>
    </row>
    <row r="60" spans="1:26" ht="15" hidden="1" customHeight="1" outlineLevel="1" x14ac:dyDescent="0.15">
      <c r="A60" s="568">
        <v>285</v>
      </c>
      <c r="B60" s="633" t="str">
        <f>IF(ISNUMBER(SEARCH("UV",D48)),"UV-C WORKSHOP WIRING",IF(ISNUMBER(SEARCH("CMW",D48)),"W/W PODS",""))</f>
        <v/>
      </c>
      <c r="C60" s="660" t="s">
        <v>85</v>
      </c>
      <c r="D60" s="660">
        <v>0</v>
      </c>
      <c r="E60" s="662" t="str">
        <f>IF(ISNUMBER(SEARCH("CMW",$D48)),"HWS REQUIREMENT @ 60°C ","")</f>
        <v/>
      </c>
      <c r="F60" s="668" t="str">
        <f>IF(ISNUMBER(SEARCH("CMW",$D48)),$F48/1000*0.103&amp;" L/S","")</f>
        <v/>
      </c>
      <c r="G60" s="656"/>
      <c r="H60" s="652"/>
      <c r="I60" s="653">
        <f>IF(I58&gt;0,H46,0)</f>
        <v>0</v>
      </c>
      <c r="J60" s="638">
        <f>IF(ISNUMBER(SEARCH("CMW",D48)),VLOOKUP(C60,'Base Costs'!$Q$35:$R$45,2,FALSE),IF(I60=0,0,36*1.03))</f>
        <v>0</v>
      </c>
      <c r="K60" s="639">
        <f>IF(ISNUMBER(SEARCH("CMW",D48)),J60*D60,J60*H46)</f>
        <v>0</v>
      </c>
      <c r="L60" s="640">
        <v>0.44</v>
      </c>
      <c r="M60" s="641">
        <f t="shared" si="4"/>
        <v>0</v>
      </c>
      <c r="N60" s="639">
        <f>M60*VLOOKUP($B$9,'Base Costs'!$A$32:$B$37,2,FALSE)</f>
        <v>0</v>
      </c>
      <c r="O60" s="642">
        <f t="shared" si="5"/>
        <v>0</v>
      </c>
      <c r="S60" s="596"/>
      <c r="Y60" s="575"/>
    </row>
    <row r="61" spans="1:26" ht="15" hidden="1" customHeight="1" outlineLevel="1" x14ac:dyDescent="0.15">
      <c r="A61" s="568">
        <v>286</v>
      </c>
      <c r="B61" s="633" t="str">
        <f>IF(ISNUMBER(SEARCH("CMW",$D48)),"CWS/HWS PIPEWORK UP TO 5M",IF(ISNUMBER(SEARCH("UV",$D48)),"MU5 INTERFACE", ""))</f>
        <v/>
      </c>
      <c r="C61" s="660">
        <v>1</v>
      </c>
      <c r="D61" s="669"/>
      <c r="E61" s="662" t="str">
        <f>IF(ISNUMBER(SEARCH("CMW",$D48)),"HW STORAGE 3m wash","")</f>
        <v/>
      </c>
      <c r="F61" s="667" t="str">
        <f>IF(ISNUMBER(SEARCH("CMW",$D48)),($F48/1000)*0.103*180&amp;" L","")</f>
        <v/>
      </c>
      <c r="G61" s="651"/>
      <c r="H61" s="652"/>
      <c r="I61" s="653">
        <f>IF(I58=0,0,1)</f>
        <v>0</v>
      </c>
      <c r="J61" s="638">
        <f>IF(B61="CWS/HWS PIPEWORK UP TO 5M",CCBASE!$B$65,IF(I61=0,0,100*1.44))</f>
        <v>0</v>
      </c>
      <c r="K61" s="639">
        <f>J61*C61</f>
        <v>0</v>
      </c>
      <c r="L61" s="640">
        <v>0.44</v>
      </c>
      <c r="M61" s="641">
        <f t="shared" si="4"/>
        <v>0</v>
      </c>
      <c r="N61" s="639">
        <f>M61*VLOOKUP($B$9,'Base Costs'!$A$32:$B$37,2,FALSE)</f>
        <v>0</v>
      </c>
      <c r="O61" s="642">
        <f t="shared" si="5"/>
        <v>0</v>
      </c>
      <c r="S61" s="596"/>
      <c r="Y61" s="575"/>
    </row>
    <row r="62" spans="1:26" ht="15" customHeight="1" collapsed="1" x14ac:dyDescent="0.15">
      <c r="B62" s="616"/>
      <c r="C62" s="672"/>
      <c r="E62" s="672"/>
      <c r="F62" s="672"/>
      <c r="G62" s="618" t="s">
        <v>23</v>
      </c>
      <c r="H62" s="617"/>
      <c r="I62" s="618">
        <f>IF(ISNUMBER(SEARCH("UV",D65)),49.7,71.75)</f>
        <v>71.75</v>
      </c>
      <c r="J62" s="619"/>
      <c r="K62" s="673"/>
      <c r="L62" s="674"/>
      <c r="M62" s="673"/>
      <c r="N62" s="673"/>
      <c r="S62" s="596"/>
      <c r="Y62" s="575"/>
    </row>
    <row r="63" spans="1:26" s="576" customFormat="1" ht="15" customHeight="1" x14ac:dyDescent="0.15">
      <c r="A63" s="568"/>
      <c r="B63" s="176" t="s">
        <v>86</v>
      </c>
      <c r="C63" s="622">
        <f>IF(H63&lt;1,0,(((VLOOKUP(G63,CC!$D$2:$F$670,3,FALSE))*H63)+IF(ISNUMBER(SEARCH("CMW",D65)),VLOOKUP(C76,CCBASE!$A$81:$C$85,3,FALSE),0)+(VLOOKUP(C68,CCBASE!$A$53:$C$73,3,FALSE)*D68)+(VLOOKUP(C69,CCBASE!$A$53:$C$73,3,FALSE)*D69))&amp;" HRS")</f>
        <v>0</v>
      </c>
      <c r="D63" s="623" t="str">
        <f>D65</f>
        <v>CANOPY TYPE</v>
      </c>
      <c r="E63" s="604">
        <f>CEILING(IF(C65="WALL",E65, (E65/2)),250)</f>
        <v>0</v>
      </c>
      <c r="F63" s="604">
        <f>IF(H63&lt;1,0,CEILING((F65-100)/H65,250))</f>
        <v>0</v>
      </c>
      <c r="G63" s="623" t="str">
        <f>D63&amp;F63&amp;E63</f>
        <v>CANOPY TYPE00</v>
      </c>
      <c r="H63" s="622">
        <f>IF(E65=0,0,IF(F65=0,0,(E65/(IF(C65="WALL",E65,(E65/2)))*H65)))</f>
        <v>0</v>
      </c>
      <c r="I63" s="622" t="str">
        <f>I65&amp;" m³/s"</f>
        <v xml:space="preserve"> m³/s</v>
      </c>
      <c r="J63" s="624"/>
      <c r="K63" s="625">
        <f>SUBTOTAL(9,K65:K78)</f>
        <v>0</v>
      </c>
      <c r="L63" s="606" t="str">
        <f>IF(K63=0,"-",O63/M63)</f>
        <v>-</v>
      </c>
      <c r="M63" s="625">
        <f>SUBTOTAL(9,M65:M78)</f>
        <v>0</v>
      </c>
      <c r="N63" s="607">
        <f>SUBTOTAL(9,N65:N78)</f>
        <v>0</v>
      </c>
      <c r="O63" s="625">
        <f>SUBTOTAL(9,O65:O78)</f>
        <v>0</v>
      </c>
      <c r="P63" s="575"/>
      <c r="Q63" s="575"/>
      <c r="R63" s="575"/>
      <c r="S63" s="615"/>
      <c r="T63" s="575"/>
      <c r="X63" s="575"/>
      <c r="Y63" s="575"/>
      <c r="Z63" s="575"/>
    </row>
    <row r="64" spans="1:26" ht="15" hidden="1" customHeight="1" outlineLevel="1" x14ac:dyDescent="0.15">
      <c r="B64" s="626"/>
      <c r="C64" s="627" t="s">
        <v>54</v>
      </c>
      <c r="D64" s="628" t="s">
        <v>55</v>
      </c>
      <c r="E64" s="627" t="s">
        <v>56</v>
      </c>
      <c r="F64" s="627" t="s">
        <v>57</v>
      </c>
      <c r="G64" s="627" t="s">
        <v>58</v>
      </c>
      <c r="H64" s="627" t="s">
        <v>59</v>
      </c>
      <c r="I64" s="628" t="s">
        <v>60</v>
      </c>
      <c r="J64" s="629"/>
      <c r="K64" s="630"/>
      <c r="L64" s="630"/>
      <c r="M64" s="631"/>
      <c r="N64" s="632"/>
      <c r="O64" s="614"/>
      <c r="S64" s="596"/>
      <c r="Y64" s="575"/>
    </row>
    <row r="65" spans="1:26" ht="15" hidden="1" customHeight="1" outlineLevel="1" x14ac:dyDescent="0.2">
      <c r="A65" s="568">
        <v>210</v>
      </c>
      <c r="B65" s="633" t="s">
        <v>61</v>
      </c>
      <c r="C65" s="634" t="s">
        <v>62</v>
      </c>
      <c r="D65" s="635" t="s">
        <v>87</v>
      </c>
      <c r="E65" s="636"/>
      <c r="F65" s="636"/>
      <c r="G65" s="636"/>
      <c r="H65" s="637"/>
      <c r="I65" s="636"/>
      <c r="J65" s="638">
        <f>IF(ISNA(C63),0,IF(F63&gt;3000,0,(IF(H63&lt;1,0,((VLOOKUP(G63,CC!$D$2:$E$670,2,FALSE))*H63)+((VLOOKUP(G63,CC!$D$2:$AD$670,17,FALSE)*(H63/H65)))))))</f>
        <v>0</v>
      </c>
      <c r="K65" s="639">
        <f>J65*1</f>
        <v>0</v>
      </c>
      <c r="L65" s="640">
        <v>0.44</v>
      </c>
      <c r="M65" s="641">
        <f t="shared" ref="M65:M78" si="6">K65/(1-L65)*(1+$C$9)</f>
        <v>0</v>
      </c>
      <c r="N65" s="639">
        <f>M65*VLOOKUP($B$9,'Base Costs'!$A$32:$B$37,2,FALSE)</f>
        <v>0</v>
      </c>
      <c r="O65" s="642">
        <f t="shared" ref="O65:O78" si="7">M65-K65</f>
        <v>0</v>
      </c>
      <c r="S65" s="596"/>
      <c r="Y65" s="575"/>
    </row>
    <row r="66" spans="1:26" ht="15" hidden="1" customHeight="1" outlineLevel="1" x14ac:dyDescent="0.15">
      <c r="A66" s="568">
        <v>104</v>
      </c>
      <c r="B66" s="633" t="s">
        <v>64</v>
      </c>
      <c r="C66" s="635" t="s">
        <v>65</v>
      </c>
      <c r="D66" s="643"/>
      <c r="E66" s="644">
        <v>100</v>
      </c>
      <c r="F66" s="645"/>
      <c r="G66" s="646"/>
      <c r="H66" s="570"/>
      <c r="I66" s="570"/>
      <c r="J66" s="638">
        <f>IF(ISNA(C63),0,IF(D66=0,0,IF(C66="FLO",VLOOKUP(E66,'Base Costs'!$M$4:$N$14,2,FALSE),IF(C66="LED STRIP",VLOOKUP(E66,'Base Costs'!$M$4:$N$14,2,FALSE),(VLOOKUP(C66,'Base Costs'!$M$4:$N$14,2,FALSE))))))</f>
        <v>0</v>
      </c>
      <c r="K66" s="639">
        <f>J66*D66</f>
        <v>0</v>
      </c>
      <c r="L66" s="640">
        <v>0.31</v>
      </c>
      <c r="M66" s="641">
        <f t="shared" si="6"/>
        <v>0</v>
      </c>
      <c r="N66" s="639">
        <f>M66*VLOOKUP($B$9,'Base Costs'!$A$32:$B$37,2,FALSE)</f>
        <v>0</v>
      </c>
      <c r="O66" s="642">
        <f t="shared" si="7"/>
        <v>0</v>
      </c>
      <c r="P66" s="647"/>
      <c r="S66" s="596"/>
      <c r="Y66" s="575"/>
    </row>
    <row r="67" spans="1:26" ht="15" hidden="1" customHeight="1" outlineLevel="1" x14ac:dyDescent="0.15">
      <c r="A67" s="568">
        <v>234</v>
      </c>
      <c r="B67" s="204" t="s">
        <v>66</v>
      </c>
      <c r="C67" s="654" t="s">
        <v>67</v>
      </c>
      <c r="D67" s="637"/>
      <c r="E67" s="655" t="str">
        <f>IF(C67="","",VLOOKUP(C67,CCBASE!$A$53:$D$73,4,FALSE))</f>
        <v/>
      </c>
      <c r="F67" s="656"/>
      <c r="G67" s="651"/>
      <c r="H67" s="652"/>
      <c r="I67" s="657"/>
      <c r="J67" s="638">
        <f>IF(C67="",0,VLOOKUP(C67,CCBASE!$A$53:$C$73,2,FALSE))</f>
        <v>0</v>
      </c>
      <c r="K67" s="639">
        <f>J67*D67</f>
        <v>0</v>
      </c>
      <c r="L67" s="640">
        <v>0.44</v>
      </c>
      <c r="M67" s="641">
        <f t="shared" si="6"/>
        <v>0</v>
      </c>
      <c r="N67" s="639">
        <f>M67*VLOOKUP($B$9,'Base Costs'!$A$32:$B$37,2,FALSE)</f>
        <v>0</v>
      </c>
      <c r="O67" s="642">
        <f t="shared" si="7"/>
        <v>0</v>
      </c>
      <c r="S67" s="596"/>
      <c r="Y67" s="575"/>
    </row>
    <row r="68" spans="1:26" ht="15" hidden="1" customHeight="1" outlineLevel="1" x14ac:dyDescent="0.15">
      <c r="B68" s="633" t="s">
        <v>66</v>
      </c>
      <c r="C68" s="654" t="s">
        <v>67</v>
      </c>
      <c r="D68" s="637"/>
      <c r="E68" s="655" t="str">
        <f>IF(C68="","",VLOOKUP(C68,CCBASE!$A$53:$D$73,4,FALSE))</f>
        <v/>
      </c>
      <c r="F68" s="656"/>
      <c r="G68" s="651"/>
      <c r="H68" s="652"/>
      <c r="I68" s="657"/>
      <c r="J68" s="638">
        <f>IF(C68="",0,VLOOKUP(C68,CCBASE!$A$53:$C$73,2,FALSE))</f>
        <v>0</v>
      </c>
      <c r="K68" s="639">
        <f>J68*D68</f>
        <v>0</v>
      </c>
      <c r="L68" s="640">
        <v>0.44</v>
      </c>
      <c r="M68" s="641">
        <f t="shared" si="6"/>
        <v>0</v>
      </c>
      <c r="N68" s="639">
        <f>M68*VLOOKUP($B$9,'Base Costs'!$A$32:$B$37,2,FALSE)</f>
        <v>0</v>
      </c>
      <c r="O68" s="642">
        <f t="shared" si="7"/>
        <v>0</v>
      </c>
      <c r="S68" s="596"/>
      <c r="Y68" s="575"/>
    </row>
    <row r="69" spans="1:26" ht="15" hidden="1" customHeight="1" outlineLevel="1" x14ac:dyDescent="0.15">
      <c r="B69" s="856" t="s">
        <v>66</v>
      </c>
      <c r="C69" s="857" t="s">
        <v>69</v>
      </c>
      <c r="D69" s="858"/>
      <c r="E69" s="859" t="str">
        <f>IF(C69="","",VLOOKUP(C69,CCBASE!$A$53:$D$73,4,FALSE))</f>
        <v>SECTION(S) OF CANOPY</v>
      </c>
      <c r="F69" s="860"/>
      <c r="G69" s="855"/>
      <c r="H69" s="861"/>
      <c r="I69" s="862"/>
      <c r="J69" s="863">
        <f>IF(C69="",0,VLOOKUP(C69,CCBASE!$A$53:$C$73,2,FALSE))</f>
        <v>50</v>
      </c>
      <c r="K69" s="864">
        <f>J69*D69</f>
        <v>0</v>
      </c>
      <c r="L69" s="865">
        <v>0.44</v>
      </c>
      <c r="M69" s="866">
        <f t="shared" si="6"/>
        <v>0</v>
      </c>
      <c r="N69" s="864">
        <f>M69*VLOOKUP($B$9,'Base Costs'!$A$32:$B$37,2,FALSE)</f>
        <v>0</v>
      </c>
      <c r="O69" s="867">
        <f t="shared" si="7"/>
        <v>0</v>
      </c>
      <c r="P69" s="868" t="s">
        <v>70</v>
      </c>
      <c r="S69" s="596"/>
      <c r="Y69" s="575"/>
    </row>
    <row r="70" spans="1:26" ht="15" hidden="1" customHeight="1" outlineLevel="1" x14ac:dyDescent="0.15">
      <c r="A70" s="568">
        <v>289</v>
      </c>
      <c r="B70" s="633" t="s">
        <v>71</v>
      </c>
      <c r="C70" s="654" t="s">
        <v>72</v>
      </c>
      <c r="D70" s="658">
        <f>ROUNDUP($F65/1000,0)</f>
        <v>0</v>
      </c>
      <c r="E70" s="950" t="s">
        <v>73</v>
      </c>
      <c r="F70" s="941"/>
      <c r="G70" s="656"/>
      <c r="H70" s="652"/>
      <c r="I70" s="657"/>
      <c r="J70" s="638">
        <f>IF(D70=0,0,VLOOKUP(C70,'Base Costs'!$A$19:$B$22,2,FALSE))</f>
        <v>0</v>
      </c>
      <c r="K70" s="639">
        <f>J70*D70</f>
        <v>0</v>
      </c>
      <c r="L70" s="640">
        <v>0.44</v>
      </c>
      <c r="M70" s="641">
        <f t="shared" si="6"/>
        <v>0</v>
      </c>
      <c r="N70" s="639">
        <f>M70*VLOOKUP($B$9,'Base Costs'!$A$32:$B$37,2,FALSE)</f>
        <v>0</v>
      </c>
      <c r="O70" s="642">
        <f t="shared" si="7"/>
        <v>0</v>
      </c>
      <c r="S70" s="596"/>
      <c r="Y70" s="575"/>
    </row>
    <row r="71" spans="1:26" ht="15" hidden="1" customHeight="1" outlineLevel="1" x14ac:dyDescent="0.15">
      <c r="A71" s="568">
        <v>242</v>
      </c>
      <c r="B71" s="633" t="s">
        <v>77</v>
      </c>
      <c r="C71" s="654"/>
      <c r="D71" s="644" t="s">
        <v>78</v>
      </c>
      <c r="E71" s="651" t="s">
        <v>79</v>
      </c>
      <c r="F71" s="650"/>
      <c r="G71" s="651"/>
      <c r="H71" s="652"/>
      <c r="I71" s="657"/>
      <c r="J71" s="638">
        <f>IF(C71=0,0,'Base Costs'!$B$26)</f>
        <v>0</v>
      </c>
      <c r="K71" s="639">
        <f>J71*C71</f>
        <v>0</v>
      </c>
      <c r="L71" s="640">
        <v>0.44</v>
      </c>
      <c r="M71" s="641">
        <f t="shared" si="6"/>
        <v>0</v>
      </c>
      <c r="N71" s="639">
        <f>M71*VLOOKUP($B$9,'Base Costs'!$A$32:$B$37,2,FALSE)</f>
        <v>0</v>
      </c>
      <c r="O71" s="642">
        <f t="shared" si="7"/>
        <v>0</v>
      </c>
      <c r="P71"/>
      <c r="Q71"/>
      <c r="S71" s="596"/>
      <c r="Y71" s="575"/>
    </row>
    <row r="72" spans="1:26" ht="15" hidden="1" customHeight="1" outlineLevel="1" x14ac:dyDescent="0.15">
      <c r="A72" s="568">
        <v>220</v>
      </c>
      <c r="B72" s="633" t="s">
        <v>80</v>
      </c>
      <c r="C72" s="654"/>
      <c r="D72" s="644" t="s">
        <v>81</v>
      </c>
      <c r="E72" s="650"/>
      <c r="F72" s="650"/>
      <c r="G72" s="659" t="str">
        <f>IF(ISNUMBER(SEARCH("KSA",$D73)),"MAX. EXTRACT (m³/s)", "")</f>
        <v/>
      </c>
      <c r="H72" s="942" t="str">
        <f>IF(ISNUMBER(SEARCH("MUAP",$D65)),"MAX.  SUPPLY (m³/s)",IF(ISNUMBER(SEARCH("SPECIAL",$D65)),"MAX.  SUPPLY (m³/s)",(IF(ISNUMBER(SEARCH("F",$D65)),"MAX.  SUPPLY (m³/s)",""))))</f>
        <v/>
      </c>
      <c r="I72" s="943"/>
      <c r="J72" s="638">
        <f>IF(C72=0,0,'Base Costs'!$B$29)</f>
        <v>0</v>
      </c>
      <c r="K72" s="639">
        <f>J72*C72</f>
        <v>0</v>
      </c>
      <c r="L72" s="640">
        <v>0.44</v>
      </c>
      <c r="M72" s="641">
        <f t="shared" si="6"/>
        <v>0</v>
      </c>
      <c r="N72" s="639">
        <f>M72*VLOOKUP($B$9,'Base Costs'!$A$32:$B$37,2,FALSE)</f>
        <v>0</v>
      </c>
      <c r="O72" s="642">
        <f t="shared" si="7"/>
        <v>0</v>
      </c>
      <c r="S72" s="596"/>
      <c r="Y72" s="575"/>
    </row>
    <row r="73" spans="1:26" ht="15" hidden="1" customHeight="1" outlineLevel="1" x14ac:dyDescent="0.15">
      <c r="A73" s="568">
        <v>103</v>
      </c>
      <c r="B73" s="633" t="s">
        <v>82</v>
      </c>
      <c r="C73" s="643">
        <f>IF(ISNUMBER(SEARCH("CMW",D65)),1,IF(F63=0,0,(ROUNDDOWN(((((F65-(100+(50*H63))))/H65)/500),0)*H63)))</f>
        <v>0</v>
      </c>
      <c r="D73" s="644" t="str">
        <f>VLOOKUP(D65,'Base Costs'!$A$39:$B$58,2,FALSE)</f>
        <v>FILTER TYPE</v>
      </c>
      <c r="E73" s="660" t="str">
        <f>IF(C73=0,0,IF(D73="KSA",ROUND(I65/C73,3),""))&amp; "  m³/s per filter"</f>
        <v>0  m³/s per filter</v>
      </c>
      <c r="F73" s="660" t="str">
        <f>IF(C73=0," Pa",ROUND((((I65*3600)/(C73*I62))^2),1)+20&amp; " Pa")</f>
        <v xml:space="preserve"> Pa</v>
      </c>
      <c r="G73" s="661" t="str">
        <f>IF(ISNUMBER(SEARCH("KSA",$D73)),$C73*0.25, "")</f>
        <v/>
      </c>
      <c r="H73" s="949" t="str">
        <f>IF(ISNUMBER(SEARCH("MUAP",$D65)),0.225*($F65/1000),IF(ISNUMBER(SEARCH("SPECIAL",$D65)),0.225*($F65/1000),(IF(ISNUMBER(SEARCH("F",$D65)),0.225*($F65/1000),""))))</f>
        <v/>
      </c>
      <c r="I73" s="943"/>
      <c r="J73" s="638">
        <f>IF(ISNA(D73),0,(VLOOKUP(D73,'Base Costs'!$Q$4:$R$11,2,FALSE)))</f>
        <v>0</v>
      </c>
      <c r="K73" s="639">
        <f>IF(ISNA(D73),0,IF(D73="MX",J73*1,J73*C73))</f>
        <v>0</v>
      </c>
      <c r="L73" s="640">
        <v>0.44</v>
      </c>
      <c r="M73" s="641">
        <f t="shared" si="6"/>
        <v>0</v>
      </c>
      <c r="N73" s="639">
        <f>M73*VLOOKUP($B$9,'Base Costs'!$A$32:$B$37,2,FALSE)</f>
        <v>0</v>
      </c>
      <c r="O73" s="642">
        <f t="shared" si="7"/>
        <v>0</v>
      </c>
      <c r="S73" s="596"/>
      <c r="Y73" s="575"/>
    </row>
    <row r="74" spans="1:26" ht="15" hidden="1" customHeight="1" outlineLevel="1" x14ac:dyDescent="0.15">
      <c r="B74" s="204" t="s">
        <v>83</v>
      </c>
      <c r="C74" s="643">
        <v>0</v>
      </c>
      <c r="D74" s="735" t="str">
        <f>VLOOKUP(D65,'Base Costs'!$A$39:$C$58,3,FALSE)</f>
        <v>PSU</v>
      </c>
      <c r="E74" s="660" t="str">
        <f>IF(C74=0,0,IF(D74="PSU",ROUND(I65/C74,3),""))&amp; " m³/s per filter"</f>
        <v>0 m³/s per filter</v>
      </c>
      <c r="F74" s="660" t="str">
        <f>IF(C74=0," Pa",ROUND((((I65*3600)/(C74*I62))^2),1)+20&amp; " Pa")</f>
        <v xml:space="preserve"> Pa</v>
      </c>
      <c r="G74" s="661" t="str">
        <f>IF(ISNUMBER(SEARCH("KSA",$D74)),$C74*0.25, "")</f>
        <v/>
      </c>
      <c r="H74" s="949" t="str">
        <f>IF(ISNUMBER(SEARCH("MUAP",$D65)),0.225*($F65/1000),IF(ISNUMBER(SEARCH("SPECIAL",$D65)),0.225*($F65/1000),(IF(ISNUMBER(SEARCH("F",$D65)),0.225*($F65/1000),""))))</f>
        <v/>
      </c>
      <c r="I74" s="943"/>
      <c r="J74" s="638">
        <f>IF(ISNA(D74),0,(VLOOKUP(D74,'Base Costs'!$Q$4:$R$13,2,FALSE)))</f>
        <v>112.678</v>
      </c>
      <c r="K74" s="639">
        <f>IF(ISNA(D74),0,IF(D74="MX",J74*1,J74*C74))</f>
        <v>0</v>
      </c>
      <c r="L74" s="640">
        <v>0.44</v>
      </c>
      <c r="M74" s="641">
        <f t="shared" si="6"/>
        <v>0</v>
      </c>
      <c r="N74" s="639">
        <f>M74*VLOOKUP($B$9,'Base Costs'!$A$32:$B$37,2,FALSE)</f>
        <v>0</v>
      </c>
      <c r="O74" s="642">
        <f t="shared" si="7"/>
        <v>0</v>
      </c>
      <c r="S74" s="596"/>
      <c r="Y74" s="575"/>
    </row>
    <row r="75" spans="1:26" ht="15" hidden="1" customHeight="1" outlineLevel="1" x14ac:dyDescent="0.15">
      <c r="A75" s="568">
        <v>107</v>
      </c>
      <c r="B75" s="662" t="str">
        <f>IF(ISNUMBER(SEARCH("UV",D65)),"UV-C COMPONENTS",IF(ISNUMBER(SEARCH("CMW",D65)),"WATERWASH COMPONENTS",""))</f>
        <v/>
      </c>
      <c r="C75" s="663" t="str">
        <f>IF(H63=0,"UVR",IF(I65=0,"UVR",IF(I75&gt;0,("UVR")&amp;(INDEX('Base Costs'!$AH$5:$AI$10,(MATCH((I65/H63),'Base Costs'!$AI$5:$AI$10,-1)),1))&amp;("-")&amp;(H63),"UVR")))</f>
        <v>UVR</v>
      </c>
      <c r="D75" s="671" t="str">
        <f>VLOOKUP(C75,'Base Costs'!$Z$4:$AF$77,7,FALSE)&amp;" m³/s"</f>
        <v xml:space="preserve"> m³/s</v>
      </c>
      <c r="E75" s="665" t="str">
        <f>IF(ISNUMBER(SEARCH("L",C75)),"LONG RACK IN SECTION","SHORTRACK")</f>
        <v>SHORTRACK</v>
      </c>
      <c r="F75" s="666" t="str">
        <f>IF(ISNUMBER(SEARCH("L",C75)),ROUND(F65/H65,1)&amp;" mm","")</f>
        <v/>
      </c>
      <c r="G75" s="656"/>
      <c r="H75" s="656"/>
      <c r="I75" s="653">
        <f>IF(ISNUMBER(SEARCH("UV",D65)),1, 0)</f>
        <v>0</v>
      </c>
      <c r="J75" s="638">
        <f>IF(ISNA(C75),0,VLOOKUP(C75,'Base Costs'!$Z$4:$AF$77,2,FALSE))</f>
        <v>0</v>
      </c>
      <c r="K75" s="639">
        <f>J75*1</f>
        <v>0</v>
      </c>
      <c r="L75" s="640">
        <v>0.44</v>
      </c>
      <c r="M75" s="641">
        <f t="shared" si="6"/>
        <v>0</v>
      </c>
      <c r="N75" s="639">
        <f>M75*VLOOKUP($B$9,'Base Costs'!$A$32:$B$37,2,FALSE)</f>
        <v>0</v>
      </c>
      <c r="O75" s="642">
        <f t="shared" si="7"/>
        <v>0</v>
      </c>
      <c r="S75" s="596"/>
      <c r="Y75" s="575"/>
    </row>
    <row r="76" spans="1:26" ht="15" hidden="1" customHeight="1" outlineLevel="1" x14ac:dyDescent="0.15">
      <c r="B76" s="633" t="str">
        <f>IF(ISNUMBER(SEARCH("UV",D65)),"UV-C 2ND FILTER",IF(ISNUMBER(SEARCH("CMW",D65)),"CONTROL PANEL",""))</f>
        <v/>
      </c>
      <c r="C76" s="660" t="s">
        <v>84</v>
      </c>
      <c r="D76" s="662" t="str">
        <f>IF(ISNUMBER(SEARCH("CP1S",$C76)),"Up to 12m of canopy","")</f>
        <v/>
      </c>
      <c r="E76" s="662" t="str">
        <f>IF(ISNUMBER(SEARCH("CMW",$D65)),"CWS REQUIREMENT @ 2Bar","")</f>
        <v/>
      </c>
      <c r="F76" s="667" t="str">
        <f>IF(ISNUMBER(SEARCH("CMW",$D65)),$F65/1000*0.02&amp;" L/S","")</f>
        <v/>
      </c>
      <c r="G76" s="656"/>
      <c r="H76" s="652"/>
      <c r="I76" s="653">
        <f>C73</f>
        <v>0</v>
      </c>
      <c r="J76" s="638">
        <f>IF(ISNUMBER(SEARCH("CMW",D65)),VLOOKUP(C76,CCBASE!$A$81:$B$85,2,FALSE),(IF(I75&gt;0,'Base Costs'!$R$7,0)))</f>
        <v>0</v>
      </c>
      <c r="K76" s="639">
        <f>J76*C73</f>
        <v>0</v>
      </c>
      <c r="L76" s="640">
        <v>0.44</v>
      </c>
      <c r="M76" s="641">
        <f t="shared" si="6"/>
        <v>0</v>
      </c>
      <c r="N76" s="639">
        <f>M76*VLOOKUP($B$9,'Base Costs'!$A$32:$B$37,2,FALSE)</f>
        <v>0</v>
      </c>
      <c r="O76" s="642">
        <f t="shared" si="7"/>
        <v>0</v>
      </c>
      <c r="S76" s="596"/>
      <c r="Y76" s="575"/>
    </row>
    <row r="77" spans="1:26" ht="15" hidden="1" customHeight="1" outlineLevel="1" x14ac:dyDescent="0.15">
      <c r="A77" s="568">
        <v>285</v>
      </c>
      <c r="B77" s="633" t="str">
        <f>IF(ISNUMBER(SEARCH("UV",D65)),"UV-C WORKSHOP WIRING",IF(ISNUMBER(SEARCH("CMW",D65)),"W/W PODS",""))</f>
        <v/>
      </c>
      <c r="C77" s="660" t="s">
        <v>85</v>
      </c>
      <c r="D77" s="660">
        <v>0</v>
      </c>
      <c r="E77" s="662" t="str">
        <f>IF(ISNUMBER(SEARCH("CMW",$D65)),"HWS REQUIREMENT @ 60°C ","")</f>
        <v/>
      </c>
      <c r="F77" s="668" t="str">
        <f>IF(ISNUMBER(SEARCH("CMW",$D65)),$F65/1000*0.103&amp;" L/S","")</f>
        <v/>
      </c>
      <c r="G77" s="656"/>
      <c r="H77" s="652"/>
      <c r="I77" s="653">
        <f>IF(I75&gt;0,H63,0)</f>
        <v>0</v>
      </c>
      <c r="J77" s="638">
        <f>IF(ISNUMBER(SEARCH("CMW",D65)),VLOOKUP(C77,'Base Costs'!$Q$35:$R$45,2,FALSE),IF(I77=0,0,36*1.03))</f>
        <v>0</v>
      </c>
      <c r="K77" s="639">
        <f>IF(ISNUMBER(SEARCH("CMW",D65)),J77*D77,J77*H63)</f>
        <v>0</v>
      </c>
      <c r="L77" s="640">
        <v>0.44</v>
      </c>
      <c r="M77" s="641">
        <f t="shared" si="6"/>
        <v>0</v>
      </c>
      <c r="N77" s="639">
        <f>M77*VLOOKUP($B$9,'Base Costs'!$A$32:$B$37,2,FALSE)</f>
        <v>0</v>
      </c>
      <c r="O77" s="642">
        <f t="shared" si="7"/>
        <v>0</v>
      </c>
      <c r="S77" s="596"/>
      <c r="Y77" s="575"/>
    </row>
    <row r="78" spans="1:26" ht="15" hidden="1" customHeight="1" outlineLevel="1" x14ac:dyDescent="0.15">
      <c r="A78" s="568">
        <v>286</v>
      </c>
      <c r="B78" s="633" t="str">
        <f>IF(ISNUMBER(SEARCH("CMW",$D65)),"CWS/HWS PIPEWORK UP TO 5M",IF(ISNUMBER(SEARCH("UV",$D65)),"MU5 INTERFACE", ""))</f>
        <v/>
      </c>
      <c r="C78" s="660">
        <v>1</v>
      </c>
      <c r="D78" s="669"/>
      <c r="E78" s="662" t="str">
        <f>IF(ISNUMBER(SEARCH("CMW",$D65)),"HW STORAGE 3m wash","")</f>
        <v/>
      </c>
      <c r="F78" s="667" t="str">
        <f>IF(ISNUMBER(SEARCH("CMW",$D65)),($F65/1000)*0.103*180&amp;" L","")</f>
        <v/>
      </c>
      <c r="G78" s="651"/>
      <c r="H78" s="652"/>
      <c r="I78" s="653">
        <f>IF(I75=0,0,1)</f>
        <v>0</v>
      </c>
      <c r="J78" s="638">
        <f>IF(B78="CWS/HWS PIPEWORK UP TO 5M",CCBASE!$B$65,IF(I78=0,0,100*1.44))</f>
        <v>0</v>
      </c>
      <c r="K78" s="639">
        <f>J78*C78</f>
        <v>0</v>
      </c>
      <c r="L78" s="640">
        <v>0.44</v>
      </c>
      <c r="M78" s="641">
        <f t="shared" si="6"/>
        <v>0</v>
      </c>
      <c r="N78" s="639">
        <f>M78*VLOOKUP($B$9,'Base Costs'!$A$32:$B$37,2,FALSE)</f>
        <v>0</v>
      </c>
      <c r="O78" s="642">
        <f t="shared" si="7"/>
        <v>0</v>
      </c>
      <c r="S78" s="596"/>
      <c r="Y78" s="575"/>
    </row>
    <row r="79" spans="1:26" ht="15" customHeight="1" collapsed="1" x14ac:dyDescent="0.15">
      <c r="B79" s="616"/>
      <c r="C79" s="672"/>
      <c r="E79" s="672"/>
      <c r="F79" s="672"/>
      <c r="G79" s="618" t="s">
        <v>23</v>
      </c>
      <c r="H79" s="617"/>
      <c r="I79" s="618">
        <f>IF(ISNUMBER(SEARCH("UV",D82)),49.7,71.75)</f>
        <v>71.75</v>
      </c>
      <c r="J79" s="619"/>
      <c r="K79" s="673"/>
      <c r="L79" s="674"/>
      <c r="M79" s="673"/>
      <c r="N79" s="673"/>
      <c r="S79" s="596"/>
      <c r="Y79" s="575"/>
    </row>
    <row r="80" spans="1:26" s="576" customFormat="1" ht="15" customHeight="1" x14ac:dyDescent="0.15">
      <c r="A80" s="568"/>
      <c r="B80" s="176" t="s">
        <v>86</v>
      </c>
      <c r="C80" s="622">
        <f>IF(H80&lt;1,0,(((VLOOKUP(G80,CC!$D$2:$F$670,3,FALSE))*H80)+IF(ISNUMBER(SEARCH("CMW",D82)),VLOOKUP(C93,CCBASE!$A$81:$C$85,3,FALSE),0)+(VLOOKUP(C85,CCBASE!$A$53:$C$73,3,FALSE)*D85)+(VLOOKUP(C86,CCBASE!$A$53:$C$73,3,FALSE)*D86))&amp;" HRS")</f>
        <v>0</v>
      </c>
      <c r="D80" s="623" t="str">
        <f>D82</f>
        <v>CANOPY TYPE</v>
      </c>
      <c r="E80" s="604">
        <f>CEILING(IF(C82="WALL",E82, (E82/2)),250)</f>
        <v>0</v>
      </c>
      <c r="F80" s="604">
        <f>IF(H80&lt;1,0,CEILING((F82-100)/H82,250))</f>
        <v>0</v>
      </c>
      <c r="G80" s="623" t="str">
        <f>D80&amp;F80&amp;E80</f>
        <v>CANOPY TYPE00</v>
      </c>
      <c r="H80" s="622">
        <f>IF(E82=0,0,IF(F82=0,0,(E82/(IF(C82="WALL",E82,(E82/2)))*H82)))</f>
        <v>0</v>
      </c>
      <c r="I80" s="622" t="str">
        <f>I82&amp;" m³/s"</f>
        <v xml:space="preserve"> m³/s</v>
      </c>
      <c r="J80" s="624"/>
      <c r="K80" s="625">
        <f>SUBTOTAL(9,K82:K95)</f>
        <v>0</v>
      </c>
      <c r="L80" s="606" t="str">
        <f>IF(K80=0,"-",O80/M80)</f>
        <v>-</v>
      </c>
      <c r="M80" s="625">
        <f>SUBTOTAL(9,M82:M95)</f>
        <v>0</v>
      </c>
      <c r="N80" s="607">
        <f>SUBTOTAL(9,N82:N95)</f>
        <v>0</v>
      </c>
      <c r="O80" s="625">
        <f>SUBTOTAL(9,O82:O95)</f>
        <v>0</v>
      </c>
      <c r="P80" s="152"/>
      <c r="Q80" s="575"/>
      <c r="R80" s="575"/>
      <c r="S80" s="615"/>
      <c r="T80" s="575"/>
      <c r="X80" s="575"/>
      <c r="Y80" s="575"/>
      <c r="Z80" s="575"/>
    </row>
    <row r="81" spans="1:25" ht="15" hidden="1" customHeight="1" outlineLevel="1" x14ac:dyDescent="0.15">
      <c r="B81" s="626"/>
      <c r="C81" s="627" t="s">
        <v>54</v>
      </c>
      <c r="D81" s="628" t="s">
        <v>55</v>
      </c>
      <c r="E81" s="627" t="s">
        <v>56</v>
      </c>
      <c r="F81" s="627" t="s">
        <v>57</v>
      </c>
      <c r="G81" s="627" t="s">
        <v>58</v>
      </c>
      <c r="H81" s="627" t="s">
        <v>59</v>
      </c>
      <c r="I81" s="628" t="s">
        <v>60</v>
      </c>
      <c r="J81" s="629"/>
      <c r="K81" s="630"/>
      <c r="L81" s="630"/>
      <c r="M81" s="631"/>
      <c r="N81" s="632"/>
      <c r="O81" s="614"/>
      <c r="S81" s="596"/>
      <c r="Y81" s="575"/>
    </row>
    <row r="82" spans="1:25" ht="15" hidden="1" customHeight="1" outlineLevel="1" x14ac:dyDescent="0.2">
      <c r="A82" s="568">
        <v>210</v>
      </c>
      <c r="B82" s="633" t="s">
        <v>61</v>
      </c>
      <c r="C82" s="634" t="s">
        <v>62</v>
      </c>
      <c r="D82" s="737" t="s">
        <v>87</v>
      </c>
      <c r="E82" s="636"/>
      <c r="F82" s="636"/>
      <c r="G82" s="636"/>
      <c r="H82" s="637"/>
      <c r="I82" s="636"/>
      <c r="J82" s="638">
        <f>IF(ISNA(C80),0,IF(F80&gt;3000,0,(IF(H80&lt;1,0,((VLOOKUP(G80,CC!$D$2:$E$670,2,FALSE))*H80)+((VLOOKUP(G80,CC!$D$2:$AD$670,17,FALSE)*(H80/H82)))))))</f>
        <v>0</v>
      </c>
      <c r="K82" s="639">
        <f>J82*1</f>
        <v>0</v>
      </c>
      <c r="L82" s="640">
        <v>0.44</v>
      </c>
      <c r="M82" s="641">
        <f t="shared" ref="M82:M95" si="8">K82/(1-L82)*(1+$C$9)</f>
        <v>0</v>
      </c>
      <c r="N82" s="639">
        <f>M82*VLOOKUP($B$9,'Base Costs'!$A$32:$B$37,2,FALSE)</f>
        <v>0</v>
      </c>
      <c r="O82" s="642">
        <f t="shared" ref="O82:O95" si="9">M82-K82</f>
        <v>0</v>
      </c>
      <c r="S82" s="596"/>
      <c r="Y82" s="575"/>
    </row>
    <row r="83" spans="1:25" ht="15" hidden="1" customHeight="1" outlineLevel="1" x14ac:dyDescent="0.15">
      <c r="A83" s="568">
        <v>104</v>
      </c>
      <c r="B83" s="633" t="s">
        <v>64</v>
      </c>
      <c r="C83" s="635" t="s">
        <v>65</v>
      </c>
      <c r="D83" s="643"/>
      <c r="E83" s="644"/>
      <c r="F83" s="645"/>
      <c r="G83" s="646"/>
      <c r="H83" s="570"/>
      <c r="I83" s="570"/>
      <c r="J83" s="638">
        <f>IF(ISNA(C80),0,IF(D83=0,0,IF(C83="FLO",VLOOKUP(E83,'Base Costs'!$M$4:$N$14,2,FALSE),IF(C83="LED STRIP",VLOOKUP(E83,'Base Costs'!$M$4:$N$14,2,FALSE),(VLOOKUP(C83,'Base Costs'!$M$4:$N$14,2,FALSE))))))</f>
        <v>0</v>
      </c>
      <c r="K83" s="639"/>
      <c r="L83" s="640">
        <v>0.31</v>
      </c>
      <c r="M83" s="641">
        <f t="shared" si="8"/>
        <v>0</v>
      </c>
      <c r="N83" s="639">
        <f>M83*VLOOKUP($B$9,'Base Costs'!$A$32:$B$37,2,FALSE)</f>
        <v>0</v>
      </c>
      <c r="O83" s="642">
        <f t="shared" si="9"/>
        <v>0</v>
      </c>
      <c r="P83" s="647"/>
      <c r="S83" s="596"/>
      <c r="Y83" s="575"/>
    </row>
    <row r="84" spans="1:25" ht="15" hidden="1" customHeight="1" outlineLevel="1" x14ac:dyDescent="0.15">
      <c r="A84" s="568">
        <v>234</v>
      </c>
      <c r="B84" s="204" t="s">
        <v>66</v>
      </c>
      <c r="C84" s="654" t="s">
        <v>67</v>
      </c>
      <c r="D84" s="637"/>
      <c r="E84" s="655" t="str">
        <f>IF(C84="","",VLOOKUP(C84,CCBASE!$A$53:$D$73,4,FALSE))</f>
        <v/>
      </c>
      <c r="F84" s="656"/>
      <c r="G84" s="651"/>
      <c r="H84" s="652"/>
      <c r="I84" s="657"/>
      <c r="J84" s="638">
        <f>IF(C84="",0,VLOOKUP(C84,CCBASE!$A$53:$C$73,2,FALSE))</f>
        <v>0</v>
      </c>
      <c r="K84" s="639">
        <f>J84*D84</f>
        <v>0</v>
      </c>
      <c r="L84" s="640">
        <v>0.44</v>
      </c>
      <c r="M84" s="641">
        <f t="shared" si="8"/>
        <v>0</v>
      </c>
      <c r="N84" s="639">
        <f>M84*VLOOKUP($B$9,'Base Costs'!$A$32:$B$37,2,FALSE)</f>
        <v>0</v>
      </c>
      <c r="O84" s="642">
        <f t="shared" si="9"/>
        <v>0</v>
      </c>
      <c r="S84" s="596"/>
      <c r="Y84" s="575"/>
    </row>
    <row r="85" spans="1:25" ht="15" hidden="1" customHeight="1" outlineLevel="1" x14ac:dyDescent="0.15">
      <c r="B85" s="204" t="s">
        <v>66</v>
      </c>
      <c r="C85" s="654" t="s">
        <v>67</v>
      </c>
      <c r="D85" s="637"/>
      <c r="E85" s="655" t="str">
        <f>IF(C85="","",VLOOKUP(C85,CCBASE!$A$53:$D$73,4,FALSE))</f>
        <v/>
      </c>
      <c r="F85" s="656"/>
      <c r="G85" s="651"/>
      <c r="H85" s="652"/>
      <c r="I85" s="657"/>
      <c r="J85" s="638">
        <f>IF(C85="",0,VLOOKUP(C85,CCBASE!$A$53:$C$73,2,FALSE))</f>
        <v>0</v>
      </c>
      <c r="K85" s="639">
        <f>J85*D85</f>
        <v>0</v>
      </c>
      <c r="L85" s="640">
        <v>0.44</v>
      </c>
      <c r="M85" s="641">
        <f t="shared" si="8"/>
        <v>0</v>
      </c>
      <c r="N85" s="639">
        <f>M85*VLOOKUP($B$9,'Base Costs'!$A$32:$B$37,2,FALSE)</f>
        <v>0</v>
      </c>
      <c r="O85" s="642">
        <f t="shared" si="9"/>
        <v>0</v>
      </c>
      <c r="S85" s="596"/>
      <c r="Y85" s="575"/>
    </row>
    <row r="86" spans="1:25" ht="15" hidden="1" customHeight="1" outlineLevel="1" x14ac:dyDescent="0.15">
      <c r="B86" s="856" t="s">
        <v>66</v>
      </c>
      <c r="C86" s="857" t="s">
        <v>69</v>
      </c>
      <c r="D86" s="858"/>
      <c r="E86" s="859" t="str">
        <f>IF(C86="","",VLOOKUP(C86,CCBASE!$A$53:$D$73,4,FALSE))</f>
        <v>SECTION(S) OF CANOPY</v>
      </c>
      <c r="F86" s="860"/>
      <c r="G86" s="855"/>
      <c r="H86" s="861"/>
      <c r="I86" s="862"/>
      <c r="J86" s="863">
        <f>IF(C86="",0,VLOOKUP(C86,CCBASE!$A$53:$C$73,2,FALSE))</f>
        <v>50</v>
      </c>
      <c r="K86" s="864">
        <f>J86*D86</f>
        <v>0</v>
      </c>
      <c r="L86" s="865">
        <v>0.44</v>
      </c>
      <c r="M86" s="866">
        <f t="shared" si="8"/>
        <v>0</v>
      </c>
      <c r="N86" s="864">
        <f>M86*VLOOKUP($B$9,'Base Costs'!$A$32:$B$37,2,FALSE)</f>
        <v>0</v>
      </c>
      <c r="O86" s="867">
        <f t="shared" si="9"/>
        <v>0</v>
      </c>
      <c r="P86" s="868" t="s">
        <v>70</v>
      </c>
      <c r="S86" s="596"/>
      <c r="Y86" s="575"/>
    </row>
    <row r="87" spans="1:25" ht="15" hidden="1" customHeight="1" outlineLevel="1" x14ac:dyDescent="0.15">
      <c r="A87" s="568">
        <v>289</v>
      </c>
      <c r="B87" s="633" t="s">
        <v>71</v>
      </c>
      <c r="C87" s="654" t="s">
        <v>72</v>
      </c>
      <c r="D87" s="658">
        <f>ROUNDUP($F82/1000,0)</f>
        <v>0</v>
      </c>
      <c r="E87" s="950" t="s">
        <v>73</v>
      </c>
      <c r="F87" s="941"/>
      <c r="G87" s="656"/>
      <c r="H87" s="652"/>
      <c r="I87" s="657"/>
      <c r="J87" s="638">
        <f>IF(D87=0,0,VLOOKUP(C87,'Base Costs'!$A$19:$B$22,2,FALSE))</f>
        <v>0</v>
      </c>
      <c r="K87" s="639">
        <f>J87*D87</f>
        <v>0</v>
      </c>
      <c r="L87" s="640">
        <v>0.44</v>
      </c>
      <c r="M87" s="641">
        <f t="shared" si="8"/>
        <v>0</v>
      </c>
      <c r="N87" s="639">
        <f>M87*VLOOKUP($B$9,'Base Costs'!$A$32:$B$37,2,FALSE)</f>
        <v>0</v>
      </c>
      <c r="O87" s="642">
        <f t="shared" si="9"/>
        <v>0</v>
      </c>
      <c r="S87" s="596"/>
      <c r="Y87" s="575"/>
    </row>
    <row r="88" spans="1:25" ht="15" hidden="1" customHeight="1" outlineLevel="1" x14ac:dyDescent="0.15">
      <c r="A88" s="568">
        <v>242</v>
      </c>
      <c r="B88" s="633" t="s">
        <v>77</v>
      </c>
      <c r="C88" s="654"/>
      <c r="D88" s="644" t="s">
        <v>78</v>
      </c>
      <c r="E88" s="651" t="s">
        <v>79</v>
      </c>
      <c r="F88" s="650"/>
      <c r="G88" s="651"/>
      <c r="H88" s="652"/>
      <c r="I88" s="657"/>
      <c r="J88" s="638">
        <f>IF(C88=0,0,'Base Costs'!$B$26)</f>
        <v>0</v>
      </c>
      <c r="K88" s="639">
        <f>J88*C88</f>
        <v>0</v>
      </c>
      <c r="L88" s="640">
        <v>0.44</v>
      </c>
      <c r="M88" s="641">
        <f t="shared" si="8"/>
        <v>0</v>
      </c>
      <c r="N88" s="639">
        <f>M88*VLOOKUP($B$9,'Base Costs'!$A$32:$B$37,2,FALSE)</f>
        <v>0</v>
      </c>
      <c r="O88" s="642">
        <f t="shared" si="9"/>
        <v>0</v>
      </c>
      <c r="P88"/>
      <c r="Q88"/>
      <c r="S88" s="596"/>
      <c r="Y88" s="575"/>
    </row>
    <row r="89" spans="1:25" ht="15" hidden="1" customHeight="1" outlineLevel="1" x14ac:dyDescent="0.15">
      <c r="A89" s="568">
        <v>220</v>
      </c>
      <c r="B89" s="633" t="s">
        <v>80</v>
      </c>
      <c r="C89" s="654"/>
      <c r="D89" s="644" t="s">
        <v>81</v>
      </c>
      <c r="E89" s="650"/>
      <c r="F89" s="650"/>
      <c r="G89" s="659" t="str">
        <f>IF(ISNUMBER(SEARCH("KSA",$D90)),"MAX. EXTRACT (m³/s)", "")</f>
        <v/>
      </c>
      <c r="H89" s="942" t="str">
        <f>IF(ISNUMBER(SEARCH("MUAP",$D82)),"MAX.  SUPPLY (m³/s)",IF(ISNUMBER(SEARCH("SPECIAL",$D82)),"MAX.  SUPPLY (m³/s)",(IF(ISNUMBER(SEARCH("F",$D82)),"MAX.  SUPPLY (m³/s)",""))))</f>
        <v/>
      </c>
      <c r="I89" s="943"/>
      <c r="J89" s="638">
        <f>IF(C89=0,0,'Base Costs'!$B$29)</f>
        <v>0</v>
      </c>
      <c r="K89" s="639">
        <f>J89*C89</f>
        <v>0</v>
      </c>
      <c r="L89" s="640">
        <v>0.44</v>
      </c>
      <c r="M89" s="641">
        <f t="shared" si="8"/>
        <v>0</v>
      </c>
      <c r="N89" s="639">
        <f>M89*VLOOKUP($B$9,'Base Costs'!$A$32:$B$37,2,FALSE)</f>
        <v>0</v>
      </c>
      <c r="O89" s="642">
        <f t="shared" si="9"/>
        <v>0</v>
      </c>
      <c r="S89" s="596"/>
      <c r="Y89" s="575"/>
    </row>
    <row r="90" spans="1:25" ht="15" hidden="1" customHeight="1" outlineLevel="1" x14ac:dyDescent="0.15">
      <c r="A90" s="568">
        <v>103</v>
      </c>
      <c r="B90" s="633" t="s">
        <v>82</v>
      </c>
      <c r="C90" s="643">
        <f>IF(ISNUMBER(SEARCH("CMW",D82)),1,IF(F80=0,0,(ROUNDDOWN(((((F82-(100+(50*H80))))/H82)/500),0)*H80)))</f>
        <v>0</v>
      </c>
      <c r="D90" s="644" t="str">
        <f>VLOOKUP(D82,'Base Costs'!$A$39:$B$58,2,FALSE)</f>
        <v>FILTER TYPE</v>
      </c>
      <c r="E90" s="660" t="str">
        <f>IF(C90=0,0,IF(D90="KSA",ROUND(I82/C90,3),""))&amp; "  m³/s per filter"</f>
        <v>0  m³/s per filter</v>
      </c>
      <c r="F90" s="660" t="str">
        <f>IF(C90=0," Pa",ROUND((((I82*3600)/(C90*I79))^2),1)+20&amp; " Pa")</f>
        <v xml:space="preserve"> Pa</v>
      </c>
      <c r="G90" s="661" t="str">
        <f>IF(ISNUMBER(SEARCH("KSA",$D90)),$C90*0.25, "")</f>
        <v/>
      </c>
      <c r="H90" s="949" t="str">
        <f>IF(ISNUMBER(SEARCH("MUAP",$D82)),0.225*($F82/1000),IF(ISNUMBER(SEARCH("SPECIAL",$D82)),0.225*($F82/1000),(IF(ISNUMBER(SEARCH("F",$D82)),0.225*($F82/1000),""))))</f>
        <v/>
      </c>
      <c r="I90" s="943"/>
      <c r="J90" s="638">
        <f>IF(ISNA(D90),0,(VLOOKUP(D90,'Base Costs'!$Q$4:$R$11,2,FALSE)))</f>
        <v>0</v>
      </c>
      <c r="K90" s="639">
        <f>IF(ISNA(D90),0,IF(D90="MX",J90*1,J90*C90))</f>
        <v>0</v>
      </c>
      <c r="L90" s="640">
        <v>0.44</v>
      </c>
      <c r="M90" s="641">
        <f t="shared" si="8"/>
        <v>0</v>
      </c>
      <c r="N90" s="639">
        <f>M90*VLOOKUP($B$9,'Base Costs'!$A$32:$B$37,2,FALSE)</f>
        <v>0</v>
      </c>
      <c r="O90" s="642">
        <f t="shared" si="9"/>
        <v>0</v>
      </c>
      <c r="S90" s="596"/>
      <c r="Y90" s="575"/>
    </row>
    <row r="91" spans="1:25" ht="15" hidden="1" customHeight="1" outlineLevel="1" x14ac:dyDescent="0.15">
      <c r="B91" s="204" t="s">
        <v>83</v>
      </c>
      <c r="C91" s="643">
        <v>0</v>
      </c>
      <c r="D91" s="735" t="str">
        <f>VLOOKUP(D82,'Base Costs'!$A$39:$C$58,3,FALSE)</f>
        <v>PSU</v>
      </c>
      <c r="E91" s="660" t="str">
        <f>IF(C91=0,0,IF(D91="PSU",ROUND(I82/C91,3),""))&amp; " m³/s per filter"</f>
        <v>0 m³/s per filter</v>
      </c>
      <c r="F91" s="660" t="str">
        <f>IF(C91=0," Pa",ROUND((((I82*3600)/(C91*I79))^2),1)+20&amp; " Pa")</f>
        <v xml:space="preserve"> Pa</v>
      </c>
      <c r="G91" s="661" t="str">
        <f>IF(ISNUMBER(SEARCH("KSA",$D91)),$C91*0.25, "")</f>
        <v/>
      </c>
      <c r="H91" s="949" t="str">
        <f>IF(ISNUMBER(SEARCH("MUAP",$D82)),0.225*($F82/1000),IF(ISNUMBER(SEARCH("SPECIAL",$D82)),0.225*($F82/1000),(IF(ISNUMBER(SEARCH("F",$D82)),0.225*($F82/1000),""))))</f>
        <v/>
      </c>
      <c r="I91" s="943"/>
      <c r="J91" s="638">
        <f>IF(ISNA(D91),0,(VLOOKUP(D91,'Base Costs'!$Q$4:$R$13,2,FALSE)))</f>
        <v>112.678</v>
      </c>
      <c r="K91" s="639">
        <f>IF(ISNA(D91),0,IF(D91="MX",J91*1,J91*C91))</f>
        <v>0</v>
      </c>
      <c r="L91" s="640">
        <v>0.44</v>
      </c>
      <c r="M91" s="641">
        <f t="shared" si="8"/>
        <v>0</v>
      </c>
      <c r="N91" s="639">
        <f>M91*VLOOKUP($B$9,'Base Costs'!$A$32:$B$37,2,FALSE)</f>
        <v>0</v>
      </c>
      <c r="O91" s="642">
        <f t="shared" si="9"/>
        <v>0</v>
      </c>
      <c r="S91" s="596"/>
      <c r="Y91" s="575"/>
    </row>
    <row r="92" spans="1:25" ht="15" hidden="1" customHeight="1" outlineLevel="1" x14ac:dyDescent="0.15">
      <c r="A92" s="568">
        <v>107</v>
      </c>
      <c r="B92" s="662" t="str">
        <f>IF(ISNUMBER(SEARCH("UV",D82)),"UV-C COMPONENTS",IF(ISNUMBER(SEARCH("CMW",D82)),"WATERWASH COMPONENTS",""))</f>
        <v/>
      </c>
      <c r="C92" s="663" t="str">
        <f>IF(H80=0,"UVR",IF(I82=0,"UVR",IF(I92&gt;0,("UVR")&amp;(INDEX('Base Costs'!$AH$5:$AI$10,(MATCH((I82/H80),'Base Costs'!$AI$5:$AI$10,-1)),1))&amp;("-")&amp;(H80),"UVR")))</f>
        <v>UVR</v>
      </c>
      <c r="D92" s="671" t="str">
        <f>VLOOKUP(C92,'Base Costs'!$Z$4:$AF$77,7,FALSE)&amp;" m³/s"</f>
        <v xml:space="preserve"> m³/s</v>
      </c>
      <c r="E92" s="665" t="str">
        <f>IF(ISNUMBER(SEARCH("L",C92)),"LONG RACK IN SECTION","SHORTRACK")</f>
        <v>SHORTRACK</v>
      </c>
      <c r="F92" s="666" t="str">
        <f>IF(ISNUMBER(SEARCH("L",C92)),ROUND(F82/H82,1)&amp;" mm","")</f>
        <v/>
      </c>
      <c r="G92" s="656"/>
      <c r="H92" s="656"/>
      <c r="I92" s="653">
        <f>IF(ISNUMBER(SEARCH("UV",D82)),1, 0)</f>
        <v>0</v>
      </c>
      <c r="J92" s="638">
        <f>IF(ISNA(C92),0,VLOOKUP(C92,'Base Costs'!$Z$4:$AF$77,2,FALSE))</f>
        <v>0</v>
      </c>
      <c r="K92" s="639">
        <f>J92*1</f>
        <v>0</v>
      </c>
      <c r="L92" s="640">
        <v>0.44</v>
      </c>
      <c r="M92" s="641">
        <f t="shared" si="8"/>
        <v>0</v>
      </c>
      <c r="N92" s="639">
        <f>M92*VLOOKUP($B$9,'Base Costs'!$A$32:$B$37,2,FALSE)</f>
        <v>0</v>
      </c>
      <c r="O92" s="642">
        <f t="shared" si="9"/>
        <v>0</v>
      </c>
      <c r="S92" s="596"/>
      <c r="Y92" s="575"/>
    </row>
    <row r="93" spans="1:25" ht="15" hidden="1" customHeight="1" outlineLevel="1" x14ac:dyDescent="0.15">
      <c r="B93" s="633" t="str">
        <f>IF(ISNUMBER(SEARCH("UV",D82)),"UV-C 2ND FILTER",IF(ISNUMBER(SEARCH("CMW",D82)),"CONTROL PANEL",""))</f>
        <v/>
      </c>
      <c r="C93" s="660" t="s">
        <v>84</v>
      </c>
      <c r="D93" s="662" t="str">
        <f>IF(ISNUMBER(SEARCH("CP1S",$C93)),"Up to 12m of canopy","")</f>
        <v/>
      </c>
      <c r="E93" s="662" t="str">
        <f>IF(ISNUMBER(SEARCH("CMW",$D82)),"CWS REQUIREMENT @ 2Bar","")</f>
        <v/>
      </c>
      <c r="F93" s="667" t="str">
        <f>IF(ISNUMBER(SEARCH("CMW",$D82)),$F82/1000*0.02&amp;" L/S","")</f>
        <v/>
      </c>
      <c r="G93" s="656"/>
      <c r="H93" s="652"/>
      <c r="I93" s="653">
        <f>C90</f>
        <v>0</v>
      </c>
      <c r="J93" s="638">
        <f>IF(ISNUMBER(SEARCH("CMW",D82)),VLOOKUP(C93,CCBASE!$A$81:$B$85,2,FALSE),(IF(I92&gt;0,'Base Costs'!$R$7,0)))</f>
        <v>0</v>
      </c>
      <c r="K93" s="639">
        <f>J93*C90</f>
        <v>0</v>
      </c>
      <c r="L93" s="640">
        <v>0.44</v>
      </c>
      <c r="M93" s="641">
        <f t="shared" si="8"/>
        <v>0</v>
      </c>
      <c r="N93" s="639">
        <f>M93*VLOOKUP($B$9,'Base Costs'!$A$32:$B$37,2,FALSE)</f>
        <v>0</v>
      </c>
      <c r="O93" s="642">
        <f t="shared" si="9"/>
        <v>0</v>
      </c>
      <c r="S93" s="596"/>
      <c r="Y93" s="575"/>
    </row>
    <row r="94" spans="1:25" ht="15" hidden="1" customHeight="1" outlineLevel="1" x14ac:dyDescent="0.15">
      <c r="A94" s="568">
        <v>285</v>
      </c>
      <c r="B94" s="633" t="str">
        <f>IF(ISNUMBER(SEARCH("UV",D82)),"UV-C WORKSHOP WIRING",IF(ISNUMBER(SEARCH("CMW",D82)),"W/W PODS",""))</f>
        <v/>
      </c>
      <c r="C94" s="660" t="s">
        <v>85</v>
      </c>
      <c r="D94" s="660">
        <v>0</v>
      </c>
      <c r="E94" s="662" t="str">
        <f>IF(ISNUMBER(SEARCH("CMW",$D82)),"HWS REQUIREMENT @ 60°C ","")</f>
        <v/>
      </c>
      <c r="F94" s="668" t="str">
        <f>IF(ISNUMBER(SEARCH("CMW",$D82)),$F82/1000*0.103&amp;" L/S","")</f>
        <v/>
      </c>
      <c r="G94" s="656"/>
      <c r="H94" s="652"/>
      <c r="I94" s="653">
        <f>IF(I92&gt;0,H80,0)</f>
        <v>0</v>
      </c>
      <c r="J94" s="638">
        <f>IF(ISNUMBER(SEARCH("CMW",D82)),VLOOKUP(C94,'Base Costs'!$Q$35:$R$45,2,FALSE),IF(I94=0,0,36*1.03))</f>
        <v>0</v>
      </c>
      <c r="K94" s="639">
        <f>IF(ISNUMBER(SEARCH("CMW",D82)),J94*D94,J94*H80)</f>
        <v>0</v>
      </c>
      <c r="L94" s="640">
        <v>0.44</v>
      </c>
      <c r="M94" s="641">
        <f t="shared" si="8"/>
        <v>0</v>
      </c>
      <c r="N94" s="639">
        <f>M94*VLOOKUP($B$9,'Base Costs'!$A$32:$B$37,2,FALSE)</f>
        <v>0</v>
      </c>
      <c r="O94" s="642">
        <f t="shared" si="9"/>
        <v>0</v>
      </c>
      <c r="S94" s="596"/>
      <c r="Y94" s="575"/>
    </row>
    <row r="95" spans="1:25" ht="15" hidden="1" customHeight="1" outlineLevel="1" x14ac:dyDescent="0.15">
      <c r="A95" s="568">
        <v>286</v>
      </c>
      <c r="B95" s="633" t="str">
        <f>IF(ISNUMBER(SEARCH("CMW",$D82)),"CWS/HWS PIPEWORK UP TO 5M",IF(ISNUMBER(SEARCH("UV",$D82)),"MU5 INTERFACE", ""))</f>
        <v/>
      </c>
      <c r="C95" s="660">
        <v>1</v>
      </c>
      <c r="D95" s="669"/>
      <c r="E95" s="662" t="str">
        <f>IF(ISNUMBER(SEARCH("CMW",$D82)),"HW STORAGE 3m wash","")</f>
        <v/>
      </c>
      <c r="F95" s="667" t="str">
        <f>IF(ISNUMBER(SEARCH("CMW",$D82)),($F82/1000)*0.103*180&amp;" L","")</f>
        <v/>
      </c>
      <c r="G95" s="651"/>
      <c r="H95" s="652"/>
      <c r="I95" s="653">
        <f>IF(I92=0,0,1)</f>
        <v>0</v>
      </c>
      <c r="J95" s="638">
        <f>IF(B95="CWS/HWS PIPEWORK UP TO 5M",CCBASE!$B$65,IF(I95=0,0,100*1.44))</f>
        <v>0</v>
      </c>
      <c r="K95" s="639">
        <f>J95*C95</f>
        <v>0</v>
      </c>
      <c r="L95" s="640">
        <v>0.44</v>
      </c>
      <c r="M95" s="641">
        <f t="shared" si="8"/>
        <v>0</v>
      </c>
      <c r="N95" s="639">
        <f>M95*VLOOKUP($B$9,'Base Costs'!$A$32:$B$37,2,FALSE)</f>
        <v>0</v>
      </c>
      <c r="O95" s="642">
        <f t="shared" si="9"/>
        <v>0</v>
      </c>
      <c r="S95" s="596"/>
      <c r="Y95" s="575"/>
    </row>
    <row r="96" spans="1:25" ht="15" customHeight="1" collapsed="1" x14ac:dyDescent="0.15">
      <c r="B96" s="616"/>
      <c r="C96" s="672"/>
      <c r="E96" s="672"/>
      <c r="F96" s="672"/>
      <c r="G96" s="618" t="s">
        <v>23</v>
      </c>
      <c r="H96" s="617"/>
      <c r="I96" s="618">
        <f>IF(ISNUMBER(SEARCH("UV",D99)),49.7,71.75)</f>
        <v>71.75</v>
      </c>
      <c r="J96" s="619"/>
      <c r="K96" s="673"/>
      <c r="L96" s="674"/>
      <c r="M96" s="673"/>
      <c r="N96" s="673"/>
      <c r="S96" s="596"/>
      <c r="Y96" s="575"/>
    </row>
    <row r="97" spans="1:26" s="576" customFormat="1" ht="15" customHeight="1" x14ac:dyDescent="0.15">
      <c r="A97" s="568"/>
      <c r="B97" s="176" t="s">
        <v>86</v>
      </c>
      <c r="C97" s="622">
        <f>IF(H97&lt;1,0,(((VLOOKUP(G97,CC!$D$2:$F$670,3,FALSE))*H97)+IF(ISNUMBER(SEARCH("CMW",D99)),VLOOKUP(C110,CCBASE!$A$81:$C$85,3,FALSE),0)+(VLOOKUP(C102,CCBASE!$A$53:$C$73,3,FALSE)*D102)+(VLOOKUP(C103,CCBASE!$A$53:$C$73,3,FALSE)*D103))&amp;" HRS")</f>
        <v>0</v>
      </c>
      <c r="D97" s="623" t="str">
        <f>D99</f>
        <v>CANOPY TYPE</v>
      </c>
      <c r="E97" s="604">
        <f>CEILING(IF(C99="WALL",E99, (E99/2)),250)</f>
        <v>0</v>
      </c>
      <c r="F97" s="604">
        <f>IF(H97&lt;1,0,CEILING((F99-100)/H99,250))</f>
        <v>0</v>
      </c>
      <c r="G97" s="623" t="str">
        <f>D97&amp;F97&amp;E97</f>
        <v>CANOPY TYPE00</v>
      </c>
      <c r="H97" s="622">
        <f>IF(E99=0,0,IF(F99=0,0,(E99/(IF(C99="WALL",E99,(E99/2)))*H99)))</f>
        <v>0</v>
      </c>
      <c r="I97" s="622" t="str">
        <f>I99&amp;" m³/s"</f>
        <v xml:space="preserve"> m³/s</v>
      </c>
      <c r="J97" s="624"/>
      <c r="K97" s="625">
        <f>SUBTOTAL(9,K99:K112)</f>
        <v>0</v>
      </c>
      <c r="L97" s="606" t="str">
        <f>IF(K97=0,"-",O97/M97)</f>
        <v>-</v>
      </c>
      <c r="M97" s="625">
        <f>SUBTOTAL(9,M99:M112)</f>
        <v>0</v>
      </c>
      <c r="N97" s="607">
        <f>SUBTOTAL(9,N99:N112)</f>
        <v>0</v>
      </c>
      <c r="O97" s="625">
        <f>SUBTOTAL(9,O99:O112)</f>
        <v>0</v>
      </c>
      <c r="P97" s="575"/>
      <c r="Q97" s="575"/>
      <c r="R97" s="575"/>
      <c r="S97" s="615"/>
      <c r="T97" s="575"/>
      <c r="X97" s="575"/>
      <c r="Y97" s="575"/>
      <c r="Z97" s="575"/>
    </row>
    <row r="98" spans="1:26" ht="15" hidden="1" customHeight="1" outlineLevel="1" x14ac:dyDescent="0.15">
      <c r="B98" s="626"/>
      <c r="C98" s="627" t="s">
        <v>54</v>
      </c>
      <c r="D98" s="628" t="s">
        <v>55</v>
      </c>
      <c r="E98" s="627" t="s">
        <v>56</v>
      </c>
      <c r="F98" s="627" t="s">
        <v>57</v>
      </c>
      <c r="G98" s="627" t="s">
        <v>58</v>
      </c>
      <c r="H98" s="627" t="s">
        <v>59</v>
      </c>
      <c r="I98" s="628" t="s">
        <v>60</v>
      </c>
      <c r="J98" s="629"/>
      <c r="K98" s="630"/>
      <c r="L98" s="630"/>
      <c r="M98" s="631"/>
      <c r="N98" s="632"/>
      <c r="O98" s="614"/>
      <c r="S98" s="596"/>
      <c r="Y98" s="575"/>
    </row>
    <row r="99" spans="1:26" ht="15" hidden="1" customHeight="1" outlineLevel="1" x14ac:dyDescent="0.2">
      <c r="A99" s="568">
        <v>210</v>
      </c>
      <c r="B99" s="633" t="s">
        <v>61</v>
      </c>
      <c r="C99" s="634" t="s">
        <v>62</v>
      </c>
      <c r="D99" s="635" t="s">
        <v>87</v>
      </c>
      <c r="E99" s="636"/>
      <c r="F99" s="636"/>
      <c r="G99" s="636"/>
      <c r="H99" s="637"/>
      <c r="I99" s="636"/>
      <c r="J99" s="638">
        <f>IF(ISNA(C97),0,IF(F97&gt;3000,0,(IF(H97&lt;1,0,((VLOOKUP(G97,CC!$D$2:$E$670,2,FALSE))*H97)+((VLOOKUP(G97,CC!$D$2:$AD$670,17,FALSE)*(H97/H99)))))))</f>
        <v>0</v>
      </c>
      <c r="K99" s="639">
        <f>J99*1</f>
        <v>0</v>
      </c>
      <c r="L99" s="640">
        <v>0.44</v>
      </c>
      <c r="M99" s="641">
        <f t="shared" ref="M99:M112" si="10">K99/(1-L99)*(1+$C$9)</f>
        <v>0</v>
      </c>
      <c r="N99" s="639">
        <f>M99*VLOOKUP($B$9,'Base Costs'!$A$32:$B$37,2,FALSE)</f>
        <v>0</v>
      </c>
      <c r="O99" s="642">
        <f t="shared" ref="O99:O112" si="11">M99-K99</f>
        <v>0</v>
      </c>
      <c r="S99" s="596"/>
      <c r="Y99" s="575"/>
    </row>
    <row r="100" spans="1:26" ht="15" hidden="1" customHeight="1" outlineLevel="1" x14ac:dyDescent="0.15">
      <c r="A100" s="568">
        <v>104</v>
      </c>
      <c r="B100" s="633" t="s">
        <v>64</v>
      </c>
      <c r="C100" s="635" t="s">
        <v>65</v>
      </c>
      <c r="D100" s="643"/>
      <c r="E100" s="644"/>
      <c r="F100" s="645"/>
      <c r="G100" s="646"/>
      <c r="H100" s="570"/>
      <c r="I100" s="570"/>
      <c r="J100" s="638">
        <f>IF(ISNA(C97),0,IF(D100=0,0,IF(C100="FLO",VLOOKUP(E100,'Base Costs'!$M$4:$N$14,2,FALSE),IF(C100="LED STRIP",VLOOKUP(E100,'Base Costs'!$M$4:$N$14,2,FALSE),(VLOOKUP(C100,'Base Costs'!$M$4:$N$14,2,FALSE))))))</f>
        <v>0</v>
      </c>
      <c r="K100" s="639">
        <f>J100*D100</f>
        <v>0</v>
      </c>
      <c r="L100" s="640">
        <v>0.31</v>
      </c>
      <c r="M100" s="641">
        <f t="shared" si="10"/>
        <v>0</v>
      </c>
      <c r="N100" s="639">
        <f>M100*VLOOKUP($B$9,'Base Costs'!$A$32:$B$37,2,FALSE)</f>
        <v>0</v>
      </c>
      <c r="O100" s="642">
        <f t="shared" si="11"/>
        <v>0</v>
      </c>
      <c r="P100" s="647"/>
      <c r="S100" s="596"/>
      <c r="Y100" s="575"/>
    </row>
    <row r="101" spans="1:26" ht="15" hidden="1" customHeight="1" outlineLevel="1" x14ac:dyDescent="0.15">
      <c r="A101" s="568">
        <v>234</v>
      </c>
      <c r="B101" s="204" t="s">
        <v>66</v>
      </c>
      <c r="C101" s="654" t="s">
        <v>67</v>
      </c>
      <c r="D101" s="637"/>
      <c r="E101" s="655" t="str">
        <f>IF(C101="","",VLOOKUP(C101,CCBASE!$A$53:$D$73,4,FALSE))</f>
        <v/>
      </c>
      <c r="F101" s="656"/>
      <c r="G101" s="651"/>
      <c r="H101" s="652"/>
      <c r="I101" s="657"/>
      <c r="J101" s="638">
        <f>IF(C101="",0,VLOOKUP(C101,CCBASE!$A$53:$C$73,2,FALSE))</f>
        <v>0</v>
      </c>
      <c r="K101" s="639">
        <f>J101*D101</f>
        <v>0</v>
      </c>
      <c r="L101" s="640">
        <v>0.44</v>
      </c>
      <c r="M101" s="641">
        <f t="shared" si="10"/>
        <v>0</v>
      </c>
      <c r="N101" s="639">
        <f>M101*VLOOKUP($B$9,'Base Costs'!$A$32:$B$37,2,FALSE)</f>
        <v>0</v>
      </c>
      <c r="O101" s="642">
        <f t="shared" si="11"/>
        <v>0</v>
      </c>
      <c r="S101" s="596"/>
      <c r="Y101" s="575"/>
    </row>
    <row r="102" spans="1:26" ht="15" hidden="1" customHeight="1" outlineLevel="1" x14ac:dyDescent="0.15">
      <c r="B102" s="487" t="s">
        <v>66</v>
      </c>
      <c r="C102" s="33" t="s">
        <v>67</v>
      </c>
      <c r="D102" s="637"/>
      <c r="E102" s="655" t="str">
        <f>IF(C102="","",VLOOKUP(C102,CCBASE!$A$53:$D$73,4,FALSE))</f>
        <v/>
      </c>
      <c r="F102" s="656"/>
      <c r="G102" s="651"/>
      <c r="H102" s="652"/>
      <c r="I102" s="657"/>
      <c r="J102" s="638">
        <f>IF(C102="",0,VLOOKUP(C102,CCBASE!$A$53:$C$73,2,FALSE))</f>
        <v>0</v>
      </c>
      <c r="K102" s="639">
        <f>J102*D102</f>
        <v>0</v>
      </c>
      <c r="L102" s="640">
        <v>0.44</v>
      </c>
      <c r="M102" s="641">
        <f t="shared" si="10"/>
        <v>0</v>
      </c>
      <c r="N102" s="639">
        <f>M102*VLOOKUP($B$9,'Base Costs'!$A$32:$B$37,2,FALSE)</f>
        <v>0</v>
      </c>
      <c r="O102" s="642">
        <f t="shared" si="11"/>
        <v>0</v>
      </c>
      <c r="S102" s="596"/>
      <c r="Y102" s="575"/>
    </row>
    <row r="103" spans="1:26" ht="15" hidden="1" customHeight="1" outlineLevel="1" x14ac:dyDescent="0.15">
      <c r="B103" s="869" t="s">
        <v>66</v>
      </c>
      <c r="C103" s="870" t="s">
        <v>69</v>
      </c>
      <c r="D103" s="858"/>
      <c r="E103" s="859" t="str">
        <f>IF(C103="","",VLOOKUP(C103,CCBASE!$A$53:$D$73,4,FALSE))</f>
        <v>SECTION(S) OF CANOPY</v>
      </c>
      <c r="F103" s="860"/>
      <c r="G103" s="855"/>
      <c r="H103" s="861"/>
      <c r="I103" s="862"/>
      <c r="J103" s="863">
        <f>IF(C103="",0,VLOOKUP(C103,CCBASE!$A$53:$C$73,2,FALSE))</f>
        <v>50</v>
      </c>
      <c r="K103" s="864">
        <f>J103*D103</f>
        <v>0</v>
      </c>
      <c r="L103" s="865">
        <v>0.44</v>
      </c>
      <c r="M103" s="866">
        <f t="shared" si="10"/>
        <v>0</v>
      </c>
      <c r="N103" s="864">
        <f>M103*VLOOKUP($B$9,'Base Costs'!$A$32:$B$37,2,FALSE)</f>
        <v>0</v>
      </c>
      <c r="O103" s="867">
        <f t="shared" si="11"/>
        <v>0</v>
      </c>
      <c r="P103" s="868" t="s">
        <v>70</v>
      </c>
      <c r="S103" s="596"/>
      <c r="Y103" s="575"/>
    </row>
    <row r="104" spans="1:26" ht="15" hidden="1" customHeight="1" outlineLevel="1" x14ac:dyDescent="0.15">
      <c r="A104" s="568">
        <v>289</v>
      </c>
      <c r="B104" s="487" t="s">
        <v>71</v>
      </c>
      <c r="C104" s="33" t="s">
        <v>72</v>
      </c>
      <c r="D104" s="658">
        <f>ROUNDUP($F99/1000,0)</f>
        <v>0</v>
      </c>
      <c r="E104" s="950" t="s">
        <v>73</v>
      </c>
      <c r="F104" s="941"/>
      <c r="G104" s="656"/>
      <c r="H104" s="652"/>
      <c r="I104" s="657"/>
      <c r="J104" s="638">
        <f>IF(D104=0,0,VLOOKUP(C104,'Base Costs'!$A$19:$B$22,2,FALSE))</f>
        <v>0</v>
      </c>
      <c r="K104" s="639">
        <f>J104*D104</f>
        <v>0</v>
      </c>
      <c r="L104" s="640">
        <v>0.44</v>
      </c>
      <c r="M104" s="641">
        <f t="shared" si="10"/>
        <v>0</v>
      </c>
      <c r="N104" s="639">
        <f>M104*VLOOKUP($B$9,'Base Costs'!$A$32:$B$37,2,FALSE)</f>
        <v>0</v>
      </c>
      <c r="O104" s="642">
        <f t="shared" si="11"/>
        <v>0</v>
      </c>
      <c r="S104" s="596"/>
      <c r="Y104" s="575"/>
    </row>
    <row r="105" spans="1:26" ht="15" hidden="1" customHeight="1" outlineLevel="1" x14ac:dyDescent="0.15">
      <c r="A105" s="568">
        <v>242</v>
      </c>
      <c r="B105" s="487" t="s">
        <v>77</v>
      </c>
      <c r="C105" s="654"/>
      <c r="D105" s="644" t="s">
        <v>78</v>
      </c>
      <c r="E105" s="651"/>
      <c r="F105" s="650"/>
      <c r="G105" s="651"/>
      <c r="H105" s="652"/>
      <c r="I105" s="657"/>
      <c r="J105" s="638">
        <f>IF(C105=0,0,'Base Costs'!$B$26)</f>
        <v>0</v>
      </c>
      <c r="K105" s="639">
        <f>J105*C105</f>
        <v>0</v>
      </c>
      <c r="L105" s="640">
        <v>0.44</v>
      </c>
      <c r="M105" s="641">
        <f t="shared" si="10"/>
        <v>0</v>
      </c>
      <c r="N105" s="639">
        <f>M105*VLOOKUP($B$9,'Base Costs'!$A$32:$B$37,2,FALSE)</f>
        <v>0</v>
      </c>
      <c r="O105" s="642">
        <f t="shared" si="11"/>
        <v>0</v>
      </c>
      <c r="P105"/>
      <c r="Q105"/>
      <c r="S105" s="596"/>
      <c r="Y105" s="575"/>
    </row>
    <row r="106" spans="1:26" ht="15" hidden="1" customHeight="1" outlineLevel="1" x14ac:dyDescent="0.15">
      <c r="A106" s="568">
        <v>220</v>
      </c>
      <c r="B106" s="633" t="s">
        <v>80</v>
      </c>
      <c r="C106" s="654"/>
      <c r="D106" s="644" t="s">
        <v>81</v>
      </c>
      <c r="E106" s="650"/>
      <c r="F106" s="650"/>
      <c r="G106" s="659" t="str">
        <f>IF(ISNUMBER(SEARCH("KSA",$D107)),"MAX. EXTRACT (m³/s)", "")</f>
        <v/>
      </c>
      <c r="H106" s="942" t="str">
        <f>IF(ISNUMBER(SEARCH("MUAP",$D99)),"MAX.  SUPPLY (m³/s)",IF(ISNUMBER(SEARCH("SPECIAL",$D99)),"MAX.  SUPPLY (m³/s)",(IF(ISNUMBER(SEARCH("F",$D99)),"MAX.  SUPPLY (m³/s)",""))))</f>
        <v/>
      </c>
      <c r="I106" s="943"/>
      <c r="J106" s="638">
        <f>IF(C106=0,0,'Base Costs'!$B$29)</f>
        <v>0</v>
      </c>
      <c r="K106" s="639">
        <f>J106*C106</f>
        <v>0</v>
      </c>
      <c r="L106" s="640">
        <v>0.44</v>
      </c>
      <c r="M106" s="641">
        <f t="shared" si="10"/>
        <v>0</v>
      </c>
      <c r="N106" s="639">
        <f>M106*VLOOKUP($B$9,'Base Costs'!$A$32:$B$37,2,FALSE)</f>
        <v>0</v>
      </c>
      <c r="O106" s="642">
        <f t="shared" si="11"/>
        <v>0</v>
      </c>
      <c r="S106" s="596"/>
      <c r="Y106" s="575"/>
    </row>
    <row r="107" spans="1:26" ht="15" hidden="1" customHeight="1" outlineLevel="1" x14ac:dyDescent="0.15">
      <c r="A107" s="568">
        <v>103</v>
      </c>
      <c r="B107" s="633" t="s">
        <v>82</v>
      </c>
      <c r="C107" s="643">
        <f>IF(ISNUMBER(SEARCH("CMW",D99)),1,IF(F97=0,0,(ROUNDDOWN(((((F99-(100+(50*H97))))/H99)/500),0)*H97)))</f>
        <v>0</v>
      </c>
      <c r="D107" s="644" t="str">
        <f>VLOOKUP(D99,'Base Costs'!$A$39:$B$58,2,FALSE)</f>
        <v>FILTER TYPE</v>
      </c>
      <c r="E107" s="660" t="str">
        <f>IF(C107=0,0,IF(D107="KSA",ROUND(I99/C107,3),""))&amp; "  m³/s per filter"</f>
        <v>0  m³/s per filter</v>
      </c>
      <c r="F107" s="660" t="str">
        <f>IF(C107=0," Pa",ROUND((((I99*3600)/(C107*I96))^2),1)+20&amp; " Pa")</f>
        <v xml:space="preserve"> Pa</v>
      </c>
      <c r="G107" s="661" t="str">
        <f>IF(ISNUMBER(SEARCH("KSA",$D107)),$C107*0.25, "")</f>
        <v/>
      </c>
      <c r="H107" s="949" t="str">
        <f>IF(ISNUMBER(SEARCH("MUAP",$D99)),0.225*($F99/1000),IF(ISNUMBER(SEARCH("SPECIAL",$D99)),0.225*($F99/1000),(IF(ISNUMBER(SEARCH("F",$D99)),0.225*($F99/1000),""))))</f>
        <v/>
      </c>
      <c r="I107" s="943"/>
      <c r="J107" s="638">
        <f>IF(ISNA(D107),0,(VLOOKUP(D107,'Base Costs'!$Q$4:$R$11,2,FALSE)))</f>
        <v>0</v>
      </c>
      <c r="K107" s="639">
        <f>IF(ISNA(D107),0,IF(D107="MX",J107*1,J107*C107))</f>
        <v>0</v>
      </c>
      <c r="L107" s="640">
        <v>0.44</v>
      </c>
      <c r="M107" s="641">
        <f t="shared" si="10"/>
        <v>0</v>
      </c>
      <c r="N107" s="639">
        <f>M107*VLOOKUP($B$9,'Base Costs'!$A$32:$B$37,2,FALSE)</f>
        <v>0</v>
      </c>
      <c r="O107" s="642">
        <f t="shared" si="11"/>
        <v>0</v>
      </c>
      <c r="S107" s="596"/>
      <c r="Y107" s="575"/>
    </row>
    <row r="108" spans="1:26" ht="15" hidden="1" customHeight="1" outlineLevel="1" x14ac:dyDescent="0.15">
      <c r="B108" s="204" t="s">
        <v>83</v>
      </c>
      <c r="C108" s="643">
        <v>0</v>
      </c>
      <c r="D108" s="735" t="str">
        <f>VLOOKUP(D99,'Base Costs'!$A$39:$C$58,3,FALSE)</f>
        <v>PSU</v>
      </c>
      <c r="E108" s="660" t="str">
        <f>IF(C108=0,0,IF(D108="PSU",ROUND(I99/C108,3),""))&amp; " m³/s per filter"</f>
        <v>0 m³/s per filter</v>
      </c>
      <c r="F108" s="660" t="str">
        <f>IF(C108=0," Pa",ROUND((((I99*3600)/(C108*I96))^2),1)+20&amp; " Pa")</f>
        <v xml:space="preserve"> Pa</v>
      </c>
      <c r="G108" s="661" t="str">
        <f>IF(ISNUMBER(SEARCH("KSA",$D108)),$C108*0.25, "")</f>
        <v/>
      </c>
      <c r="H108" s="949" t="str">
        <f>IF(ISNUMBER(SEARCH("MUAP",$D99)),0.225*($F99/1000),IF(ISNUMBER(SEARCH("SPECIAL",$D99)),0.225*($F99/1000),(IF(ISNUMBER(SEARCH("F",$D99)),0.225*($F99/1000),""))))</f>
        <v/>
      </c>
      <c r="I108" s="943"/>
      <c r="J108" s="638">
        <f>IF(ISNA(D108),0,(VLOOKUP(D108,'Base Costs'!$Q$4:$R$13,2,FALSE)))</f>
        <v>112.678</v>
      </c>
      <c r="K108" s="639">
        <f>IF(ISNA(D108),0,IF(D108="MX",J108*1,J108*C108))</f>
        <v>0</v>
      </c>
      <c r="L108" s="640">
        <v>0.44</v>
      </c>
      <c r="M108" s="641">
        <f t="shared" si="10"/>
        <v>0</v>
      </c>
      <c r="N108" s="639">
        <f>M108*VLOOKUP($B$9,'Base Costs'!$A$32:$B$37,2,FALSE)</f>
        <v>0</v>
      </c>
      <c r="O108" s="642">
        <f t="shared" si="11"/>
        <v>0</v>
      </c>
      <c r="S108" s="596"/>
      <c r="Y108" s="575"/>
    </row>
    <row r="109" spans="1:26" ht="15" hidden="1" customHeight="1" outlineLevel="1" x14ac:dyDescent="0.15">
      <c r="A109" s="568">
        <v>107</v>
      </c>
      <c r="B109" s="662" t="str">
        <f>IF(ISNUMBER(SEARCH("UV",D99)),"UV-C COMPONENTS",IF(ISNUMBER(SEARCH("CMW",D99)),"WATERWASH COMPONENTS",""))</f>
        <v/>
      </c>
      <c r="C109" s="663" t="str">
        <f>IF(H97=0,"UVR",IF(I99=0,"UVR",IF(I109&gt;0,("UVR")&amp;(INDEX('Base Costs'!$AH$5:$AI$10,(MATCH((I99/H97),'Base Costs'!$AI$5:$AI$10,-1)),1))&amp;("-")&amp;(H97),"UVR")))</f>
        <v>UVR</v>
      </c>
      <c r="D109" s="671" t="str">
        <f>VLOOKUP(C109,'Base Costs'!$Z$4:$AF$77,7,FALSE)&amp;" m³/s"</f>
        <v xml:space="preserve"> m³/s</v>
      </c>
      <c r="E109" s="665" t="str">
        <f>IF(ISNUMBER(SEARCH("L",C109)),"LONG RACK IN SECTION","SHORTRACK")</f>
        <v>SHORTRACK</v>
      </c>
      <c r="F109" s="666" t="str">
        <f>IF(ISNUMBER(SEARCH("L",C109)),ROUND(F99/H99,1)&amp;" mm","")</f>
        <v/>
      </c>
      <c r="G109" s="656"/>
      <c r="H109" s="656"/>
      <c r="I109" s="653">
        <f>IF(ISNUMBER(SEARCH("UV",D99)),1, 0)</f>
        <v>0</v>
      </c>
      <c r="J109" s="638">
        <f>IF(ISNA(C109),0,VLOOKUP(C109,'Base Costs'!$Z$4:$AF$77,2,FALSE))</f>
        <v>0</v>
      </c>
      <c r="K109" s="639">
        <f>J109*1</f>
        <v>0</v>
      </c>
      <c r="L109" s="640">
        <v>0.44</v>
      </c>
      <c r="M109" s="641">
        <f t="shared" si="10"/>
        <v>0</v>
      </c>
      <c r="N109" s="639">
        <f>M109*VLOOKUP($B$9,'Base Costs'!$A$32:$B$37,2,FALSE)</f>
        <v>0</v>
      </c>
      <c r="O109" s="642">
        <f t="shared" si="11"/>
        <v>0</v>
      </c>
      <c r="S109" s="596"/>
      <c r="Y109" s="575"/>
    </row>
    <row r="110" spans="1:26" ht="15" hidden="1" customHeight="1" outlineLevel="1" x14ac:dyDescent="0.15">
      <c r="B110" s="633" t="str">
        <f>IF(ISNUMBER(SEARCH("UV",D99)),"UV-C 2ND FILTER",IF(ISNUMBER(SEARCH("CMW",D99)),"CONTROL PANEL",""))</f>
        <v/>
      </c>
      <c r="C110" s="660" t="s">
        <v>84</v>
      </c>
      <c r="D110" s="662" t="str">
        <f>IF(ISNUMBER(SEARCH("CP1S",$C110)),"Up to 12m of canopy","")</f>
        <v/>
      </c>
      <c r="E110" s="662" t="str">
        <f>IF(ISNUMBER(SEARCH("CMW",$D99)),"CWS REQUIREMENT @ 2Bar","")</f>
        <v/>
      </c>
      <c r="F110" s="667" t="str">
        <f>IF(ISNUMBER(SEARCH("CMW",$D99)),$F99/1000*0.02&amp;" L/S","")</f>
        <v/>
      </c>
      <c r="G110" s="656"/>
      <c r="H110" s="652"/>
      <c r="I110" s="653">
        <f>C107</f>
        <v>0</v>
      </c>
      <c r="J110" s="638">
        <f>IF(ISNUMBER(SEARCH("CMW",D99)),VLOOKUP(C110,CCBASE!$A$81:$B$85,2,FALSE),(IF(I109&gt;0,'Base Costs'!$R$7,0)))</f>
        <v>0</v>
      </c>
      <c r="K110" s="639">
        <f>J110*C107</f>
        <v>0</v>
      </c>
      <c r="L110" s="640">
        <v>0.44</v>
      </c>
      <c r="M110" s="641">
        <f t="shared" si="10"/>
        <v>0</v>
      </c>
      <c r="N110" s="639">
        <f>M110*VLOOKUP($B$9,'Base Costs'!$A$32:$B$37,2,FALSE)</f>
        <v>0</v>
      </c>
      <c r="O110" s="642">
        <f t="shared" si="11"/>
        <v>0</v>
      </c>
      <c r="S110" s="596"/>
      <c r="Y110" s="575"/>
    </row>
    <row r="111" spans="1:26" ht="15" hidden="1" customHeight="1" outlineLevel="1" x14ac:dyDescent="0.15">
      <c r="A111" s="568">
        <v>285</v>
      </c>
      <c r="B111" s="633" t="str">
        <f>IF(ISNUMBER(SEARCH("UV",D99)),"UV-C WORKSHOP WIRING",IF(ISNUMBER(SEARCH("CMW",D99)),"W/W PODS",""))</f>
        <v/>
      </c>
      <c r="C111" s="660" t="s">
        <v>85</v>
      </c>
      <c r="D111" s="660">
        <v>0</v>
      </c>
      <c r="E111" s="662" t="str">
        <f>IF(ISNUMBER(SEARCH("CMW",$D99)),"HWS REQUIREMENT @ 60°C ","")</f>
        <v/>
      </c>
      <c r="F111" s="668" t="str">
        <f>IF(ISNUMBER(SEARCH("CMW",$D99)),$F99/1000*0.103&amp;" L/S","")</f>
        <v/>
      </c>
      <c r="G111" s="656"/>
      <c r="H111" s="652"/>
      <c r="I111" s="653">
        <f>IF(I109&gt;0,H97,0)</f>
        <v>0</v>
      </c>
      <c r="J111" s="638">
        <f>IF(ISNUMBER(SEARCH("CMW",D99)),VLOOKUP(C111,'Base Costs'!$Q$35:$R$45,2,FALSE),IF(I111=0,0,36*1.03))</f>
        <v>0</v>
      </c>
      <c r="K111" s="639">
        <f>IF(ISNUMBER(SEARCH("CMW",D99)),J111*D111,J111*H97)</f>
        <v>0</v>
      </c>
      <c r="L111" s="640">
        <v>0.44</v>
      </c>
      <c r="M111" s="641">
        <f t="shared" si="10"/>
        <v>0</v>
      </c>
      <c r="N111" s="639">
        <f>M111*VLOOKUP($B$9,'Base Costs'!$A$32:$B$37,2,FALSE)</f>
        <v>0</v>
      </c>
      <c r="O111" s="642">
        <f t="shared" si="11"/>
        <v>0</v>
      </c>
      <c r="S111" s="596"/>
      <c r="Y111" s="575"/>
    </row>
    <row r="112" spans="1:26" ht="15" hidden="1" customHeight="1" outlineLevel="1" x14ac:dyDescent="0.15">
      <c r="A112" s="568">
        <v>286</v>
      </c>
      <c r="B112" s="633" t="str">
        <f>IF(ISNUMBER(SEARCH("CMW",$D99)),"CWS/HWS PIPEWORK UP TO 5M",IF(ISNUMBER(SEARCH("UV",$D99)),"MU5 INTERFACE", ""))</f>
        <v/>
      </c>
      <c r="C112" s="660">
        <v>1</v>
      </c>
      <c r="D112" s="669"/>
      <c r="E112" s="662" t="str">
        <f>IF(ISNUMBER(SEARCH("CMW",$D99)),"HW STORAGE 3m wash","")</f>
        <v/>
      </c>
      <c r="F112" s="667" t="str">
        <f>IF(ISNUMBER(SEARCH("CMW",$D99)),($F99/1000)*0.103*180&amp;" L","")</f>
        <v/>
      </c>
      <c r="G112" s="651"/>
      <c r="H112" s="652"/>
      <c r="I112" s="653">
        <f>IF(I109=0,0,1)</f>
        <v>0</v>
      </c>
      <c r="J112" s="638">
        <f>IF(B112="CWS/HWS PIPEWORK UP TO 5M",CCBASE!$B$65,IF(I112=0,0,100*1.44))</f>
        <v>0</v>
      </c>
      <c r="K112" s="639">
        <f>J112*C112</f>
        <v>0</v>
      </c>
      <c r="L112" s="640">
        <v>0.44</v>
      </c>
      <c r="M112" s="641">
        <f t="shared" si="10"/>
        <v>0</v>
      </c>
      <c r="N112" s="639">
        <f>M112*VLOOKUP($B$9,'Base Costs'!$A$32:$B$37,2,FALSE)</f>
        <v>0</v>
      </c>
      <c r="O112" s="642">
        <f t="shared" si="11"/>
        <v>0</v>
      </c>
      <c r="S112" s="596"/>
      <c r="Y112" s="575"/>
    </row>
    <row r="113" spans="1:26" ht="15" customHeight="1" collapsed="1" x14ac:dyDescent="0.15">
      <c r="B113" s="616"/>
      <c r="C113" s="672"/>
      <c r="E113" s="672"/>
      <c r="F113" s="672"/>
      <c r="G113" s="618" t="s">
        <v>23</v>
      </c>
      <c r="H113" s="617"/>
      <c r="I113" s="618">
        <f>IF(ISNUMBER(SEARCH("UV",D116)),49.7,71.75)</f>
        <v>71.75</v>
      </c>
      <c r="J113" s="619"/>
      <c r="K113" s="673"/>
      <c r="L113" s="674"/>
      <c r="M113" s="673"/>
      <c r="N113" s="673"/>
      <c r="S113" s="596"/>
      <c r="Y113" s="575"/>
    </row>
    <row r="114" spans="1:26" s="576" customFormat="1" ht="15" customHeight="1" x14ac:dyDescent="0.15">
      <c r="A114" s="568"/>
      <c r="B114" s="176" t="s">
        <v>86</v>
      </c>
      <c r="C114" s="622">
        <f>IF(H114&lt;1,0,(((VLOOKUP(G114,CC!$D$2:$F$670,3,FALSE))*H114)+IF(ISNUMBER(SEARCH("CMW",D116)),VLOOKUP(C127,CCBASE!$A$81:$C$85,3,FALSE),0)+(VLOOKUP(C119,CCBASE!$A$53:$C$73,3,FALSE)*D119)+(VLOOKUP(C120,CCBASE!$A$53:$C$73,3,FALSE)*D120))&amp;" HRS")</f>
        <v>0</v>
      </c>
      <c r="D114" s="623" t="str">
        <f>D116</f>
        <v>CANOPY TYPE</v>
      </c>
      <c r="E114" s="604">
        <f>CEILING(IF(C116="WALL",E116, (E116/2)),250)</f>
        <v>0</v>
      </c>
      <c r="F114" s="604">
        <f>IF(H114&lt;1,0,CEILING((F116-100)/H116,250))</f>
        <v>0</v>
      </c>
      <c r="G114" s="623" t="str">
        <f>D114&amp;F114&amp;E114</f>
        <v>CANOPY TYPE00</v>
      </c>
      <c r="H114" s="622">
        <f>IF(E116=0,0,IF(F116=0,0,(E116/(IF(C116="WALL",E116,(E116/2)))*H116)))</f>
        <v>0</v>
      </c>
      <c r="I114" s="622" t="str">
        <f>I116&amp;" m³/s"</f>
        <v xml:space="preserve"> m³/s</v>
      </c>
      <c r="J114" s="624"/>
      <c r="K114" s="625">
        <f>SUBTOTAL(9,K116:K129)</f>
        <v>0</v>
      </c>
      <c r="L114" s="606" t="str">
        <f>IF(K114=0,"-",O114/M114)</f>
        <v>-</v>
      </c>
      <c r="M114" s="625">
        <f>SUBTOTAL(9,M116:M129)</f>
        <v>0</v>
      </c>
      <c r="N114" s="607">
        <f>SUBTOTAL(9,N116:N129)</f>
        <v>0</v>
      </c>
      <c r="O114" s="625">
        <f>SUBTOTAL(9,O116:O129)</f>
        <v>0</v>
      </c>
      <c r="P114" s="575"/>
      <c r="Q114" s="575"/>
      <c r="R114" s="575"/>
      <c r="S114" s="615"/>
      <c r="T114" s="575"/>
      <c r="X114" s="575"/>
      <c r="Y114" s="575"/>
      <c r="Z114" s="575"/>
    </row>
    <row r="115" spans="1:26" ht="15" hidden="1" customHeight="1" outlineLevel="1" x14ac:dyDescent="0.15">
      <c r="B115" s="626"/>
      <c r="C115" s="627" t="s">
        <v>54</v>
      </c>
      <c r="D115" s="628" t="s">
        <v>55</v>
      </c>
      <c r="E115" s="627" t="s">
        <v>56</v>
      </c>
      <c r="F115" s="627" t="s">
        <v>57</v>
      </c>
      <c r="G115" s="627" t="s">
        <v>58</v>
      </c>
      <c r="H115" s="627" t="s">
        <v>59</v>
      </c>
      <c r="I115" s="628" t="s">
        <v>60</v>
      </c>
      <c r="J115" s="629"/>
      <c r="K115" s="630"/>
      <c r="L115" s="630"/>
      <c r="M115" s="631"/>
      <c r="N115" s="632"/>
      <c r="O115" s="614"/>
      <c r="S115" s="596"/>
      <c r="Y115" s="575"/>
    </row>
    <row r="116" spans="1:26" ht="15" hidden="1" customHeight="1" outlineLevel="1" x14ac:dyDescent="0.2">
      <c r="A116" s="568">
        <v>210</v>
      </c>
      <c r="B116" s="633" t="s">
        <v>61</v>
      </c>
      <c r="C116" s="634" t="s">
        <v>62</v>
      </c>
      <c r="D116" s="635" t="s">
        <v>87</v>
      </c>
      <c r="E116" s="636"/>
      <c r="F116" s="636"/>
      <c r="G116" s="636"/>
      <c r="H116" s="637"/>
      <c r="I116" s="636"/>
      <c r="J116" s="638">
        <f>IF(ISNA(C114),0,IF(F114&gt;3000,0,(IF(H114&lt;1,0,((VLOOKUP(G114,CC!$D$2:$E$670,2,FALSE))*H114)+((VLOOKUP(G114,CC!$D$2:$AD$670,17,FALSE)*(H114/H116)))))))</f>
        <v>0</v>
      </c>
      <c r="K116" s="639">
        <f>J116*1</f>
        <v>0</v>
      </c>
      <c r="L116" s="640">
        <v>0.44</v>
      </c>
      <c r="M116" s="641">
        <f t="shared" ref="M116:M129" si="12">K116/(1-L116)*(1+$C$9)</f>
        <v>0</v>
      </c>
      <c r="N116" s="639">
        <f>M116*VLOOKUP($B$9,'Base Costs'!$A$32:$B$37,2,FALSE)</f>
        <v>0</v>
      </c>
      <c r="O116" s="642">
        <f t="shared" ref="O116:O129" si="13">M116-K116</f>
        <v>0</v>
      </c>
      <c r="S116" s="596"/>
      <c r="Y116" s="575"/>
    </row>
    <row r="117" spans="1:26" ht="15" hidden="1" customHeight="1" outlineLevel="1" x14ac:dyDescent="0.15">
      <c r="A117" s="568">
        <v>104</v>
      </c>
      <c r="B117" s="633" t="s">
        <v>64</v>
      </c>
      <c r="C117" s="635" t="s">
        <v>65</v>
      </c>
      <c r="D117" s="643"/>
      <c r="E117" s="644"/>
      <c r="F117" s="645"/>
      <c r="G117" s="646"/>
      <c r="H117" s="570"/>
      <c r="I117" s="570"/>
      <c r="J117" s="638">
        <f>IF(ISNA(C114),0,IF(D117=0,0,IF(C117="FLO",VLOOKUP(E117,'Base Costs'!$M$4:$N$14,2,FALSE),IF(C117="LED STRIP",VLOOKUP(E117,'Base Costs'!$M$4:$N$14,2,FALSE),(VLOOKUP(C117,'Base Costs'!$M$4:$N$14,2,FALSE))))))</f>
        <v>0</v>
      </c>
      <c r="K117" s="639">
        <f>J117*D117</f>
        <v>0</v>
      </c>
      <c r="L117" s="640">
        <v>0.31</v>
      </c>
      <c r="M117" s="641">
        <f t="shared" si="12"/>
        <v>0</v>
      </c>
      <c r="N117" s="639">
        <f>M117*VLOOKUP($B$9,'Base Costs'!$A$32:$B$37,2,FALSE)</f>
        <v>0</v>
      </c>
      <c r="O117" s="642">
        <f t="shared" si="13"/>
        <v>0</v>
      </c>
      <c r="P117" s="647"/>
      <c r="S117" s="596"/>
      <c r="Y117" s="575"/>
    </row>
    <row r="118" spans="1:26" ht="15" hidden="1" customHeight="1" outlineLevel="1" x14ac:dyDescent="0.15">
      <c r="A118" s="568">
        <v>234</v>
      </c>
      <c r="B118" s="204" t="s">
        <v>66</v>
      </c>
      <c r="C118" s="654" t="s">
        <v>67</v>
      </c>
      <c r="D118" s="637"/>
      <c r="E118" s="655" t="str">
        <f>IF(C118="","",VLOOKUP(C118,CCBASE!$A$53:$D$73,4,FALSE))</f>
        <v/>
      </c>
      <c r="F118" s="656"/>
      <c r="G118" s="651"/>
      <c r="H118" s="652"/>
      <c r="I118" s="657"/>
      <c r="J118" s="638">
        <f>IF(C118="",0,VLOOKUP(C118,CCBASE!$A$53:$C$73,2,FALSE))</f>
        <v>0</v>
      </c>
      <c r="K118" s="639">
        <f>J118*D118</f>
        <v>0</v>
      </c>
      <c r="L118" s="640">
        <v>0.44</v>
      </c>
      <c r="M118" s="641">
        <f t="shared" si="12"/>
        <v>0</v>
      </c>
      <c r="N118" s="639">
        <f>M118*VLOOKUP($B$9,'Base Costs'!$A$32:$B$37,2,FALSE)</f>
        <v>0</v>
      </c>
      <c r="O118" s="642">
        <f t="shared" si="13"/>
        <v>0</v>
      </c>
      <c r="S118" s="596"/>
      <c r="Y118" s="575"/>
    </row>
    <row r="119" spans="1:26" ht="15" hidden="1" customHeight="1" outlineLevel="1" x14ac:dyDescent="0.15">
      <c r="B119" s="487" t="s">
        <v>66</v>
      </c>
      <c r="C119" s="33" t="s">
        <v>67</v>
      </c>
      <c r="D119" s="637"/>
      <c r="E119" s="655" t="str">
        <f>IF(C119="","",VLOOKUP(C119,CCBASE!$A$53:$D$73,4,FALSE))</f>
        <v/>
      </c>
      <c r="F119" s="656"/>
      <c r="G119" s="651"/>
      <c r="H119" s="652"/>
      <c r="I119" s="657"/>
      <c r="J119" s="638">
        <f>IF(C119="",0,VLOOKUP(C119,CCBASE!$A$53:$C$73,2,FALSE))</f>
        <v>0</v>
      </c>
      <c r="K119" s="639">
        <f>J119*D119</f>
        <v>0</v>
      </c>
      <c r="L119" s="640">
        <v>0.44</v>
      </c>
      <c r="M119" s="641">
        <f t="shared" si="12"/>
        <v>0</v>
      </c>
      <c r="N119" s="639">
        <f>M119*VLOOKUP($B$9,'Base Costs'!$A$32:$B$37,2,FALSE)</f>
        <v>0</v>
      </c>
      <c r="O119" s="642">
        <f t="shared" si="13"/>
        <v>0</v>
      </c>
      <c r="S119" s="596"/>
      <c r="Y119" s="575"/>
    </row>
    <row r="120" spans="1:26" ht="15" hidden="1" customHeight="1" outlineLevel="1" x14ac:dyDescent="0.15">
      <c r="B120" s="869" t="s">
        <v>66</v>
      </c>
      <c r="C120" s="870" t="s">
        <v>69</v>
      </c>
      <c r="D120" s="858"/>
      <c r="E120" s="859" t="str">
        <f>IF(C120="","",VLOOKUP(C120,CCBASE!$A$53:$D$73,4,FALSE))</f>
        <v>SECTION(S) OF CANOPY</v>
      </c>
      <c r="F120" s="860"/>
      <c r="G120" s="855"/>
      <c r="H120" s="861"/>
      <c r="I120" s="862"/>
      <c r="J120" s="863">
        <f>IF(C120="",0,VLOOKUP(C120,CCBASE!$A$53:$C$73,2,FALSE))</f>
        <v>50</v>
      </c>
      <c r="K120" s="864">
        <f>J120*D120</f>
        <v>0</v>
      </c>
      <c r="L120" s="865">
        <v>0.44</v>
      </c>
      <c r="M120" s="866">
        <f t="shared" si="12"/>
        <v>0</v>
      </c>
      <c r="N120" s="864">
        <f>M120*VLOOKUP($B$9,'Base Costs'!$A$32:$B$37,2,FALSE)</f>
        <v>0</v>
      </c>
      <c r="O120" s="867">
        <f t="shared" si="13"/>
        <v>0</v>
      </c>
      <c r="P120" s="868" t="s">
        <v>70</v>
      </c>
      <c r="S120" s="596"/>
      <c r="Y120" s="575"/>
    </row>
    <row r="121" spans="1:26" ht="15" hidden="1" customHeight="1" outlineLevel="1" x14ac:dyDescent="0.15">
      <c r="A121" s="568">
        <v>289</v>
      </c>
      <c r="B121" s="487" t="s">
        <v>71</v>
      </c>
      <c r="C121" s="33" t="s">
        <v>72</v>
      </c>
      <c r="D121" s="658">
        <f>ROUNDUP($F116/1000,0)</f>
        <v>0</v>
      </c>
      <c r="E121" s="950" t="s">
        <v>73</v>
      </c>
      <c r="F121" s="941"/>
      <c r="G121" s="656"/>
      <c r="H121" s="652"/>
      <c r="I121" s="657"/>
      <c r="J121" s="638">
        <f>IF(D121=0,0,VLOOKUP(C121,'Base Costs'!$A$19:$B$22,2,FALSE))</f>
        <v>0</v>
      </c>
      <c r="K121" s="639">
        <f>J121*D121</f>
        <v>0</v>
      </c>
      <c r="L121" s="640">
        <v>0.44</v>
      </c>
      <c r="M121" s="641">
        <f t="shared" si="12"/>
        <v>0</v>
      </c>
      <c r="N121" s="639">
        <f>M121*VLOOKUP($B$9,'Base Costs'!$A$32:$B$37,2,FALSE)</f>
        <v>0</v>
      </c>
      <c r="O121" s="642">
        <f t="shared" si="13"/>
        <v>0</v>
      </c>
      <c r="S121" s="596"/>
      <c r="Y121" s="575"/>
    </row>
    <row r="122" spans="1:26" ht="15" hidden="1" customHeight="1" outlineLevel="1" x14ac:dyDescent="0.15">
      <c r="A122" s="568">
        <v>242</v>
      </c>
      <c r="B122" s="487" t="s">
        <v>77</v>
      </c>
      <c r="C122" s="654"/>
      <c r="D122" s="644" t="s">
        <v>78</v>
      </c>
      <c r="E122" s="651"/>
      <c r="F122" s="650"/>
      <c r="G122" s="651"/>
      <c r="H122" s="652"/>
      <c r="I122" s="657"/>
      <c r="J122" s="638">
        <f>IF(C122=0,0,'Base Costs'!$B$26)</f>
        <v>0</v>
      </c>
      <c r="K122" s="639">
        <f>J122*C122</f>
        <v>0</v>
      </c>
      <c r="L122" s="640">
        <v>0.44</v>
      </c>
      <c r="M122" s="641">
        <f t="shared" si="12"/>
        <v>0</v>
      </c>
      <c r="N122" s="639">
        <f>M122*VLOOKUP($B$9,'Base Costs'!$A$32:$B$37,2,FALSE)</f>
        <v>0</v>
      </c>
      <c r="O122" s="642">
        <f t="shared" si="13"/>
        <v>0</v>
      </c>
      <c r="P122"/>
      <c r="Q122"/>
      <c r="S122" s="596"/>
      <c r="Y122" s="575"/>
    </row>
    <row r="123" spans="1:26" ht="15" hidden="1" customHeight="1" outlineLevel="1" x14ac:dyDescent="0.15">
      <c r="A123" s="568">
        <v>220</v>
      </c>
      <c r="B123" s="633" t="s">
        <v>80</v>
      </c>
      <c r="C123" s="654"/>
      <c r="D123" s="644" t="s">
        <v>81</v>
      </c>
      <c r="E123" s="650"/>
      <c r="F123" s="650"/>
      <c r="G123" s="659" t="str">
        <f>IF(ISNUMBER(SEARCH("KSA",$D124)),"MAX. EXTRACT (m³/s)", "")</f>
        <v/>
      </c>
      <c r="H123" s="942" t="str">
        <f>IF(ISNUMBER(SEARCH("MUAP",$D116)),"MAX.  SUPPLY (m³/s)",IF(ISNUMBER(SEARCH("SPECIAL",$D116)),"MAX.  SUPPLY (m³/s)",(IF(ISNUMBER(SEARCH("F",$D116)),"MAX.  SUPPLY (m³/s)",""))))</f>
        <v/>
      </c>
      <c r="I123" s="943"/>
      <c r="J123" s="638">
        <f>IF(C123=0,0,'Base Costs'!$B$29)</f>
        <v>0</v>
      </c>
      <c r="K123" s="639">
        <f>J123*C123</f>
        <v>0</v>
      </c>
      <c r="L123" s="640">
        <v>0.44</v>
      </c>
      <c r="M123" s="641">
        <f t="shared" si="12"/>
        <v>0</v>
      </c>
      <c r="N123" s="639">
        <f>M123*VLOOKUP($B$9,'Base Costs'!$A$32:$B$37,2,FALSE)</f>
        <v>0</v>
      </c>
      <c r="O123" s="642">
        <f t="shared" si="13"/>
        <v>0</v>
      </c>
      <c r="S123" s="596"/>
      <c r="Y123" s="575"/>
    </row>
    <row r="124" spans="1:26" ht="15" hidden="1" customHeight="1" outlineLevel="1" x14ac:dyDescent="0.15">
      <c r="A124" s="568">
        <v>103</v>
      </c>
      <c r="B124" s="633" t="s">
        <v>82</v>
      </c>
      <c r="C124" s="643">
        <f>IF(ISNUMBER(SEARCH("CMW",D116)),1,IF(F114=0,0,(ROUNDDOWN(((((F116-(100+(50*H114))))/H116)/500),0)*H114)))</f>
        <v>0</v>
      </c>
      <c r="D124" s="644" t="str">
        <f>VLOOKUP(D116,'Base Costs'!$A$39:$B$58,2,FALSE)</f>
        <v>FILTER TYPE</v>
      </c>
      <c r="E124" s="660" t="str">
        <f>IF(C124=0,0,IF(D124="KSA",ROUND(I116/C124,3),""))&amp; "  m³/s per filter"</f>
        <v>0  m³/s per filter</v>
      </c>
      <c r="F124" s="660" t="str">
        <f>IF(C124=0," Pa",ROUND((((I116*3600)/(C124*I113))^2),1)+20&amp; " Pa")</f>
        <v xml:space="preserve"> Pa</v>
      </c>
      <c r="G124" s="661" t="str">
        <f>IF(ISNUMBER(SEARCH("KSA",$D124)),$C124*0.25, "")</f>
        <v/>
      </c>
      <c r="H124" s="949" t="str">
        <f>IF(ISNUMBER(SEARCH("MUAP",$D116)),0.225*($F116/1000),IF(ISNUMBER(SEARCH("SPECIAL",$D116)),0.225*($F116/1000),(IF(ISNUMBER(SEARCH("F",$D116)),0.225*($F116/1000),""))))</f>
        <v/>
      </c>
      <c r="I124" s="943"/>
      <c r="J124" s="638">
        <f>IF(ISNA(D124),0,(VLOOKUP(D124,'Base Costs'!$Q$4:$R$11,2,FALSE)))</f>
        <v>0</v>
      </c>
      <c r="K124" s="639">
        <f>IF(ISNA(D124),0,IF(D124="MX",J124*1,J124*C124))</f>
        <v>0</v>
      </c>
      <c r="L124" s="640">
        <v>0.44</v>
      </c>
      <c r="M124" s="641">
        <f t="shared" si="12"/>
        <v>0</v>
      </c>
      <c r="N124" s="639">
        <f>M124*VLOOKUP($B$9,'Base Costs'!$A$32:$B$37,2,FALSE)</f>
        <v>0</v>
      </c>
      <c r="O124" s="642">
        <f t="shared" si="13"/>
        <v>0</v>
      </c>
      <c r="S124" s="596"/>
      <c r="Y124" s="575"/>
    </row>
    <row r="125" spans="1:26" ht="15" hidden="1" customHeight="1" outlineLevel="1" x14ac:dyDescent="0.15">
      <c r="B125" s="204" t="s">
        <v>83</v>
      </c>
      <c r="C125" s="643">
        <v>0</v>
      </c>
      <c r="D125" s="735" t="str">
        <f>VLOOKUP(D116,'Base Costs'!$A$39:$C$58,3,FALSE)</f>
        <v>PSU</v>
      </c>
      <c r="E125" s="660" t="str">
        <f>IF(C125=0,0,IF(D125="PSU",ROUND(I116/C125,3),""))&amp; " m³/s per filter"</f>
        <v>0 m³/s per filter</v>
      </c>
      <c r="F125" s="660" t="str">
        <f>IF(C125=0," Pa",ROUND((((I116*3600)/(C125*I113))^2),1)+20&amp; " Pa")</f>
        <v xml:space="preserve"> Pa</v>
      </c>
      <c r="G125" s="661" t="str">
        <f>IF(ISNUMBER(SEARCH("KSA",$D125)),$C125*0.25, "")</f>
        <v/>
      </c>
      <c r="H125" s="949" t="str">
        <f>IF(ISNUMBER(SEARCH("MUAP",$D116)),0.225*($F116/1000),IF(ISNUMBER(SEARCH("SPECIAL",$D116)),0.225*($F116/1000),(IF(ISNUMBER(SEARCH("F",$D116)),0.225*($F116/1000),""))))</f>
        <v/>
      </c>
      <c r="I125" s="943"/>
      <c r="J125" s="638">
        <f>IF(ISNA(D125),0,(VLOOKUP(D125,'Base Costs'!$Q$4:$R$13,2,FALSE)))</f>
        <v>112.678</v>
      </c>
      <c r="K125" s="639">
        <f>IF(ISNA(D125),0,IF(D125="MX",J125*1,J125*C125))</f>
        <v>0</v>
      </c>
      <c r="L125" s="640">
        <v>0.44</v>
      </c>
      <c r="M125" s="641">
        <f t="shared" si="12"/>
        <v>0</v>
      </c>
      <c r="N125" s="639">
        <f>M125*VLOOKUP($B$9,'Base Costs'!$A$32:$B$37,2,FALSE)</f>
        <v>0</v>
      </c>
      <c r="O125" s="642">
        <f t="shared" si="13"/>
        <v>0</v>
      </c>
      <c r="S125" s="596"/>
      <c r="Y125" s="575"/>
    </row>
    <row r="126" spans="1:26" ht="15" hidden="1" customHeight="1" outlineLevel="1" x14ac:dyDescent="0.15">
      <c r="A126" s="568">
        <v>107</v>
      </c>
      <c r="B126" s="662" t="str">
        <f>IF(ISNUMBER(SEARCH("UV",D116)),"UV-C COMPONENTS",IF(ISNUMBER(SEARCH("CMW",D116)),"WATERWASH COMPONENTS",""))</f>
        <v/>
      </c>
      <c r="C126" s="663" t="str">
        <f>IF(H114=0,"UVR",IF(I116=0,"UVR",IF(I126&gt;0,("UVR")&amp;(INDEX('Base Costs'!$AH$5:$AI$10,(MATCH((I116/H114),'Base Costs'!$AI$5:$AI$10,-1)),1))&amp;("-")&amp;(H114),"UVR")))</f>
        <v>UVR</v>
      </c>
      <c r="D126" s="671" t="str">
        <f>VLOOKUP(C126,'Base Costs'!$Z$4:$AF$77,7,FALSE)&amp;" m³/s"</f>
        <v xml:space="preserve"> m³/s</v>
      </c>
      <c r="E126" s="665" t="str">
        <f>IF(ISNUMBER(SEARCH("L",C126)),"LONG RACK IN SECTION","SHORTRACK")</f>
        <v>SHORTRACK</v>
      </c>
      <c r="F126" s="666" t="str">
        <f>IF(ISNUMBER(SEARCH("L",C126)),ROUND(F116/H116,1)&amp;" mm","")</f>
        <v/>
      </c>
      <c r="G126" s="656"/>
      <c r="H126" s="656"/>
      <c r="I126" s="653">
        <f>IF(ISNUMBER(SEARCH("UV",D116)),1, 0)</f>
        <v>0</v>
      </c>
      <c r="J126" s="638">
        <f>IF(ISNA(C126),0,VLOOKUP(C126,'Base Costs'!$Z$4:$AF$77,2,FALSE))</f>
        <v>0</v>
      </c>
      <c r="K126" s="639">
        <f>J126*1</f>
        <v>0</v>
      </c>
      <c r="L126" s="640">
        <v>0.44</v>
      </c>
      <c r="M126" s="641">
        <f t="shared" si="12"/>
        <v>0</v>
      </c>
      <c r="N126" s="639">
        <f>M126*VLOOKUP($B$9,'Base Costs'!$A$32:$B$37,2,FALSE)</f>
        <v>0</v>
      </c>
      <c r="O126" s="642">
        <f t="shared" si="13"/>
        <v>0</v>
      </c>
      <c r="S126" s="596"/>
      <c r="Y126" s="575"/>
    </row>
    <row r="127" spans="1:26" ht="15" hidden="1" customHeight="1" outlineLevel="1" x14ac:dyDescent="0.15">
      <c r="B127" s="633" t="str">
        <f>IF(ISNUMBER(SEARCH("UV",D116)),"UV-C 2ND FILTER",IF(ISNUMBER(SEARCH("CMW",D116)),"CONTROL PANEL",""))</f>
        <v/>
      </c>
      <c r="C127" s="660" t="s">
        <v>84</v>
      </c>
      <c r="D127" s="662" t="str">
        <f>IF(ISNUMBER(SEARCH("CP1S",$C127)),"Up to 12m of canopy","")</f>
        <v/>
      </c>
      <c r="E127" s="662" t="str">
        <f>IF(ISNUMBER(SEARCH("CMW",$D116)),"CWS REQUIREMENT @ 2Bar","")</f>
        <v/>
      </c>
      <c r="F127" s="667" t="str">
        <f>IF(ISNUMBER(SEARCH("CMW",$D116)),$F116/1000*0.02&amp;" L/S","")</f>
        <v/>
      </c>
      <c r="G127" s="656"/>
      <c r="H127" s="652"/>
      <c r="I127" s="653">
        <f>C124</f>
        <v>0</v>
      </c>
      <c r="J127" s="638">
        <f>IF(ISNUMBER(SEARCH("CMW",D116)),VLOOKUP(C127,CCBASE!$A$81:$B$85,2,FALSE),(IF(I126&gt;0,'Base Costs'!$R$7,0)))</f>
        <v>0</v>
      </c>
      <c r="K127" s="639">
        <f>J127*C124</f>
        <v>0</v>
      </c>
      <c r="L127" s="640">
        <v>0.44</v>
      </c>
      <c r="M127" s="641">
        <f t="shared" si="12"/>
        <v>0</v>
      </c>
      <c r="N127" s="639">
        <f>M127*VLOOKUP($B$9,'Base Costs'!$A$32:$B$37,2,FALSE)</f>
        <v>0</v>
      </c>
      <c r="O127" s="642">
        <f t="shared" si="13"/>
        <v>0</v>
      </c>
      <c r="S127" s="596"/>
      <c r="Y127" s="575"/>
    </row>
    <row r="128" spans="1:26" ht="15" hidden="1" customHeight="1" outlineLevel="1" x14ac:dyDescent="0.15">
      <c r="A128" s="568">
        <v>285</v>
      </c>
      <c r="B128" s="633" t="str">
        <f>IF(ISNUMBER(SEARCH("UV",D116)),"UV-C WORKSHOP WIRING",IF(ISNUMBER(SEARCH("CMW",D116)),"W/W PODS",""))</f>
        <v/>
      </c>
      <c r="C128" s="660" t="s">
        <v>85</v>
      </c>
      <c r="D128" s="660">
        <v>0</v>
      </c>
      <c r="E128" s="662" t="str">
        <f>IF(ISNUMBER(SEARCH("CMW",$D116)),"HWS REQUIREMENT @ 60°C ","")</f>
        <v/>
      </c>
      <c r="F128" s="668" t="str">
        <f>IF(ISNUMBER(SEARCH("CMW",$D116)),$F116/1000*0.103&amp;" L/S","")</f>
        <v/>
      </c>
      <c r="G128" s="656"/>
      <c r="H128" s="652"/>
      <c r="I128" s="653">
        <f>IF(I126&gt;0,H114,0)</f>
        <v>0</v>
      </c>
      <c r="J128" s="638">
        <f>IF(ISNUMBER(SEARCH("CMW",D116)),VLOOKUP(C128,'Base Costs'!$Q$35:$R$45,2,FALSE),IF(I128=0,0,36*1.03))</f>
        <v>0</v>
      </c>
      <c r="K128" s="639">
        <f>IF(ISNUMBER(SEARCH("CMW",D116)),J128*D128,J128*H114)</f>
        <v>0</v>
      </c>
      <c r="L128" s="640">
        <v>0.44</v>
      </c>
      <c r="M128" s="641">
        <f t="shared" si="12"/>
        <v>0</v>
      </c>
      <c r="N128" s="639">
        <f>M128*VLOOKUP($B$9,'Base Costs'!$A$32:$B$37,2,FALSE)</f>
        <v>0</v>
      </c>
      <c r="O128" s="642">
        <f t="shared" si="13"/>
        <v>0</v>
      </c>
      <c r="S128" s="596"/>
      <c r="Y128" s="575"/>
    </row>
    <row r="129" spans="1:26" ht="15" hidden="1" customHeight="1" outlineLevel="1" x14ac:dyDescent="0.15">
      <c r="A129" s="568">
        <v>286</v>
      </c>
      <c r="B129" s="633" t="str">
        <f>IF(ISNUMBER(SEARCH("CMW",$D116)),"CWS/HWS PIPEWORK UP TO 5M",IF(ISNUMBER(SEARCH("UV",$D116)),"MU5 INTERFACE", ""))</f>
        <v/>
      </c>
      <c r="C129" s="660">
        <v>1</v>
      </c>
      <c r="D129" s="669"/>
      <c r="E129" s="662" t="str">
        <f>IF(ISNUMBER(SEARCH("CMW",$D116)),"HW STORAGE 3m wash","")</f>
        <v/>
      </c>
      <c r="F129" s="667" t="str">
        <f>IF(ISNUMBER(SEARCH("CMW",$D116)),($F116/1000)*0.103*180&amp;" L","")</f>
        <v/>
      </c>
      <c r="G129" s="651"/>
      <c r="H129" s="652"/>
      <c r="I129" s="653">
        <f>IF(I126=0,0,1)</f>
        <v>0</v>
      </c>
      <c r="J129" s="638">
        <f>IF(B129="CWS/HWS PIPEWORK UP TO 5M",CCBASE!$B$65,IF(I129=0,0,100*1.44))</f>
        <v>0</v>
      </c>
      <c r="K129" s="639">
        <f>J129*C129</f>
        <v>0</v>
      </c>
      <c r="L129" s="640">
        <v>0.44</v>
      </c>
      <c r="M129" s="641">
        <f t="shared" si="12"/>
        <v>0</v>
      </c>
      <c r="N129" s="639">
        <f>M129*VLOOKUP($B$9,'Base Costs'!$A$32:$B$37,2,FALSE)</f>
        <v>0</v>
      </c>
      <c r="O129" s="642">
        <f t="shared" si="13"/>
        <v>0</v>
      </c>
      <c r="S129" s="596"/>
      <c r="Y129" s="575"/>
    </row>
    <row r="130" spans="1:26" ht="15" customHeight="1" collapsed="1" x14ac:dyDescent="0.15">
      <c r="B130" s="616"/>
      <c r="C130" s="672"/>
      <c r="E130" s="672"/>
      <c r="F130" s="672"/>
      <c r="G130" s="618" t="s">
        <v>23</v>
      </c>
      <c r="H130" s="617"/>
      <c r="I130" s="618">
        <f>IF(ISNUMBER(SEARCH("UV",D133)),49.7,71.75)</f>
        <v>71.75</v>
      </c>
      <c r="J130" s="619"/>
      <c r="K130" s="673"/>
      <c r="L130" s="674"/>
      <c r="M130" s="673"/>
      <c r="N130" s="673"/>
      <c r="S130" s="596"/>
      <c r="Y130" s="575"/>
    </row>
    <row r="131" spans="1:26" s="576" customFormat="1" ht="15" customHeight="1" x14ac:dyDescent="0.15">
      <c r="A131" s="568"/>
      <c r="B131" s="176" t="s">
        <v>86</v>
      </c>
      <c r="C131" s="622">
        <f>IF(H131&lt;1,0,(((VLOOKUP(G131,CC!$D$2:$F$670,3,FALSE))*H131)+IF(ISNUMBER(SEARCH("CMW",D133)),VLOOKUP(C144,CCBASE!$A$81:$C$85,3,FALSE),0)+(VLOOKUP(C136,CCBASE!$A$53:$C$73,3,FALSE)*D136)+(VLOOKUP(C137,CCBASE!$A$53:$C$73,3,FALSE)*D137))&amp;" HRS")</f>
        <v>0</v>
      </c>
      <c r="D131" s="623" t="str">
        <f>D133</f>
        <v>CANOPY TYPE</v>
      </c>
      <c r="E131" s="604">
        <f>CEILING(IF(C133="WALL",E133, (E133/2)),250)</f>
        <v>0</v>
      </c>
      <c r="F131" s="604">
        <f>IF(H131&lt;1,0,CEILING((F133-100)/H133,250))</f>
        <v>0</v>
      </c>
      <c r="G131" s="623" t="str">
        <f>D131&amp;F131&amp;E131</f>
        <v>CANOPY TYPE00</v>
      </c>
      <c r="H131" s="622">
        <f>IF(E133=0,0,IF(F133=0,0,(E133/(IF(C133="WALL",E133,(E133/2)))*H133)))</f>
        <v>0</v>
      </c>
      <c r="I131" s="622" t="str">
        <f>I133&amp;" m³/s"</f>
        <v xml:space="preserve"> m³/s</v>
      </c>
      <c r="J131" s="624"/>
      <c r="K131" s="625">
        <f>SUBTOTAL(9,K133:K146)</f>
        <v>0</v>
      </c>
      <c r="L131" s="606" t="str">
        <f>IF(K131=0,"-",O131/M131)</f>
        <v>-</v>
      </c>
      <c r="M131" s="625">
        <f>SUBTOTAL(9,M133:M146)</f>
        <v>0</v>
      </c>
      <c r="N131" s="607">
        <f>SUBTOTAL(9,N133:N146)</f>
        <v>0</v>
      </c>
      <c r="O131" s="625">
        <f>SUBTOTAL(9,O133:O146)</f>
        <v>0</v>
      </c>
      <c r="P131" s="575"/>
      <c r="Q131" s="575"/>
      <c r="R131" s="575"/>
      <c r="S131" s="615"/>
      <c r="T131" s="575"/>
      <c r="X131" s="575"/>
      <c r="Y131" s="575"/>
      <c r="Z131" s="575"/>
    </row>
    <row r="132" spans="1:26" ht="15" hidden="1" customHeight="1" outlineLevel="1" x14ac:dyDescent="0.15">
      <c r="B132" s="626"/>
      <c r="C132" s="627" t="s">
        <v>54</v>
      </c>
      <c r="D132" s="628" t="s">
        <v>55</v>
      </c>
      <c r="E132" s="627" t="s">
        <v>56</v>
      </c>
      <c r="F132" s="627" t="s">
        <v>57</v>
      </c>
      <c r="G132" s="627" t="s">
        <v>58</v>
      </c>
      <c r="H132" s="627" t="s">
        <v>59</v>
      </c>
      <c r="I132" s="628" t="s">
        <v>60</v>
      </c>
      <c r="J132" s="629"/>
      <c r="K132" s="630"/>
      <c r="L132" s="630"/>
      <c r="M132" s="631"/>
      <c r="N132" s="632"/>
      <c r="O132" s="614"/>
      <c r="S132" s="596"/>
      <c r="Y132" s="575"/>
    </row>
    <row r="133" spans="1:26" ht="15" hidden="1" customHeight="1" outlineLevel="1" x14ac:dyDescent="0.2">
      <c r="A133" s="568">
        <v>210</v>
      </c>
      <c r="B133" s="633" t="s">
        <v>61</v>
      </c>
      <c r="C133" s="634" t="s">
        <v>62</v>
      </c>
      <c r="D133" s="635" t="s">
        <v>87</v>
      </c>
      <c r="E133" s="636"/>
      <c r="F133" s="636"/>
      <c r="G133" s="636"/>
      <c r="H133" s="637"/>
      <c r="I133" s="636"/>
      <c r="J133" s="638">
        <f>IF(ISNA(C131),0,IF(F131&gt;3000,0,(IF(H131&lt;1,0,((VLOOKUP(G131,CC!$D$2:$E$670,2,FALSE))*H131)+((VLOOKUP(G131,CC!$D$2:$AD$670,17,FALSE)*(H131/H133)))))))</f>
        <v>0</v>
      </c>
      <c r="K133" s="639">
        <f>J133*1</f>
        <v>0</v>
      </c>
      <c r="L133" s="640">
        <v>0.44</v>
      </c>
      <c r="M133" s="641">
        <f t="shared" ref="M133:M146" si="14">K133/(1-L133)*(1+$C$9)</f>
        <v>0</v>
      </c>
      <c r="N133" s="639">
        <f>M133*VLOOKUP($B$9,'Base Costs'!$A$32:$B$37,2,FALSE)</f>
        <v>0</v>
      </c>
      <c r="O133" s="642">
        <f t="shared" ref="O133:O146" si="15">M133-K133</f>
        <v>0</v>
      </c>
      <c r="S133" s="596"/>
      <c r="Y133" s="575"/>
    </row>
    <row r="134" spans="1:26" ht="15" hidden="1" customHeight="1" outlineLevel="1" x14ac:dyDescent="0.15">
      <c r="A134" s="568">
        <v>104</v>
      </c>
      <c r="B134" s="633" t="s">
        <v>64</v>
      </c>
      <c r="C134" s="635" t="s">
        <v>65</v>
      </c>
      <c r="D134" s="643"/>
      <c r="E134" s="644"/>
      <c r="F134" s="645"/>
      <c r="G134" s="646"/>
      <c r="H134" s="570"/>
      <c r="I134" s="570"/>
      <c r="J134" s="638">
        <f>IF(ISNA(C131),0,IF(D134=0,0,IF(C134="FLO",VLOOKUP(E134,'Base Costs'!$M$4:$N$14,2,FALSE),IF(C134="LED STRIP",VLOOKUP(E134,'Base Costs'!$M$4:$N$14,2,FALSE),(VLOOKUP(C134,'Base Costs'!$M$4:$N$14,2,FALSE))))))</f>
        <v>0</v>
      </c>
      <c r="K134" s="639">
        <f>J134*D134</f>
        <v>0</v>
      </c>
      <c r="L134" s="640">
        <v>0.31</v>
      </c>
      <c r="M134" s="641">
        <f t="shared" si="14"/>
        <v>0</v>
      </c>
      <c r="N134" s="639">
        <f>M134*VLOOKUP($B$9,'Base Costs'!$A$32:$B$37,2,FALSE)</f>
        <v>0</v>
      </c>
      <c r="O134" s="642">
        <f t="shared" si="15"/>
        <v>0</v>
      </c>
      <c r="P134" s="647"/>
      <c r="S134" s="596"/>
      <c r="Y134" s="575"/>
    </row>
    <row r="135" spans="1:26" ht="15" hidden="1" customHeight="1" outlineLevel="1" x14ac:dyDescent="0.15">
      <c r="A135" s="568">
        <v>234</v>
      </c>
      <c r="B135" s="204" t="s">
        <v>66</v>
      </c>
      <c r="C135" s="654" t="s">
        <v>67</v>
      </c>
      <c r="D135" s="637"/>
      <c r="E135" s="655" t="str">
        <f>IF(C135="","",VLOOKUP(C135,CCBASE!$A$53:$D$73,4,FALSE))</f>
        <v/>
      </c>
      <c r="F135" s="656"/>
      <c r="G135" s="651"/>
      <c r="H135" s="652"/>
      <c r="I135" s="657"/>
      <c r="J135" s="638">
        <f>IF(C135="",0,VLOOKUP(C135,CCBASE!$A$53:$C$73,2,FALSE))</f>
        <v>0</v>
      </c>
      <c r="K135" s="639">
        <f>J135*D135</f>
        <v>0</v>
      </c>
      <c r="L135" s="640">
        <v>0.44</v>
      </c>
      <c r="M135" s="641">
        <f t="shared" si="14"/>
        <v>0</v>
      </c>
      <c r="N135" s="639">
        <f>M135*VLOOKUP($B$9,'Base Costs'!$A$32:$B$37,2,FALSE)</f>
        <v>0</v>
      </c>
      <c r="O135" s="642">
        <f t="shared" si="15"/>
        <v>0</v>
      </c>
      <c r="S135" s="596"/>
      <c r="Y135" s="575"/>
    </row>
    <row r="136" spans="1:26" ht="15" hidden="1" customHeight="1" outlineLevel="1" x14ac:dyDescent="0.15">
      <c r="B136" s="487" t="s">
        <v>66</v>
      </c>
      <c r="C136" s="33" t="s">
        <v>67</v>
      </c>
      <c r="D136" s="637"/>
      <c r="E136" s="655" t="str">
        <f>IF(C136="","",VLOOKUP(C136,CCBASE!$A$53:$D$73,4,FALSE))</f>
        <v/>
      </c>
      <c r="F136" s="656"/>
      <c r="G136" s="651"/>
      <c r="H136" s="652"/>
      <c r="I136" s="657"/>
      <c r="J136" s="638">
        <f>IF(C136="",0,VLOOKUP(C136,CCBASE!$A$53:$C$73,2,FALSE))</f>
        <v>0</v>
      </c>
      <c r="K136" s="639">
        <f>J136*D136</f>
        <v>0</v>
      </c>
      <c r="L136" s="640">
        <v>0.44</v>
      </c>
      <c r="M136" s="641">
        <f t="shared" si="14"/>
        <v>0</v>
      </c>
      <c r="N136" s="639">
        <f>M136*VLOOKUP($B$9,'Base Costs'!$A$32:$B$37,2,FALSE)</f>
        <v>0</v>
      </c>
      <c r="O136" s="642">
        <f t="shared" si="15"/>
        <v>0</v>
      </c>
      <c r="S136" s="596"/>
      <c r="Y136" s="575"/>
    </row>
    <row r="137" spans="1:26" ht="15" hidden="1" customHeight="1" outlineLevel="1" x14ac:dyDescent="0.15">
      <c r="B137" s="869" t="s">
        <v>66</v>
      </c>
      <c r="C137" s="870" t="s">
        <v>69</v>
      </c>
      <c r="D137" s="858"/>
      <c r="E137" s="859" t="str">
        <f>IF(C137="","",VLOOKUP(C137,CCBASE!$A$53:$D$73,4,FALSE))</f>
        <v>SECTION(S) OF CANOPY</v>
      </c>
      <c r="F137" s="860"/>
      <c r="G137" s="855"/>
      <c r="H137" s="861"/>
      <c r="I137" s="862"/>
      <c r="J137" s="863">
        <f>IF(C137="",0,VLOOKUP(C137,CCBASE!$A$53:$C$73,2,FALSE))</f>
        <v>50</v>
      </c>
      <c r="K137" s="864">
        <f>J137*D137</f>
        <v>0</v>
      </c>
      <c r="L137" s="865">
        <v>0.44</v>
      </c>
      <c r="M137" s="866">
        <f t="shared" si="14"/>
        <v>0</v>
      </c>
      <c r="N137" s="864">
        <f>M137*VLOOKUP($B$9,'Base Costs'!$A$32:$B$37,2,FALSE)</f>
        <v>0</v>
      </c>
      <c r="O137" s="867">
        <f t="shared" si="15"/>
        <v>0</v>
      </c>
      <c r="P137" s="868" t="s">
        <v>70</v>
      </c>
      <c r="S137" s="596"/>
      <c r="Y137" s="575"/>
    </row>
    <row r="138" spans="1:26" ht="15" hidden="1" customHeight="1" outlineLevel="1" x14ac:dyDescent="0.15">
      <c r="A138" s="568">
        <v>289</v>
      </c>
      <c r="B138" s="487" t="s">
        <v>71</v>
      </c>
      <c r="C138" s="33" t="s">
        <v>72</v>
      </c>
      <c r="D138" s="658">
        <f>ROUNDUP($F133/1000,0)</f>
        <v>0</v>
      </c>
      <c r="E138" s="950" t="s">
        <v>73</v>
      </c>
      <c r="F138" s="941"/>
      <c r="G138" s="656"/>
      <c r="H138" s="652"/>
      <c r="I138" s="657"/>
      <c r="J138" s="638">
        <f>IF(D138=0,0,VLOOKUP(C138,'Base Costs'!$A$19:$B$22,2,FALSE))</f>
        <v>0</v>
      </c>
      <c r="K138" s="639">
        <f>J138*D138</f>
        <v>0</v>
      </c>
      <c r="L138" s="640">
        <v>0.44</v>
      </c>
      <c r="M138" s="641">
        <f t="shared" si="14"/>
        <v>0</v>
      </c>
      <c r="N138" s="639">
        <f>M138*VLOOKUP($B$9,'Base Costs'!$A$32:$B$37,2,FALSE)</f>
        <v>0</v>
      </c>
      <c r="O138" s="642">
        <f t="shared" si="15"/>
        <v>0</v>
      </c>
      <c r="S138" s="596"/>
      <c r="Y138" s="575"/>
    </row>
    <row r="139" spans="1:26" ht="15" hidden="1" customHeight="1" outlineLevel="1" x14ac:dyDescent="0.15">
      <c r="A139" s="568">
        <v>242</v>
      </c>
      <c r="B139" s="487" t="s">
        <v>77</v>
      </c>
      <c r="C139" s="654"/>
      <c r="D139" s="644" t="s">
        <v>78</v>
      </c>
      <c r="E139" s="651"/>
      <c r="F139" s="650"/>
      <c r="G139" s="651"/>
      <c r="H139" s="652"/>
      <c r="I139" s="657"/>
      <c r="J139" s="638">
        <f>IF(C139=0,0,'Base Costs'!$B$26)</f>
        <v>0</v>
      </c>
      <c r="K139" s="639">
        <f>J139*C139</f>
        <v>0</v>
      </c>
      <c r="L139" s="640">
        <v>0.44</v>
      </c>
      <c r="M139" s="641">
        <f t="shared" si="14"/>
        <v>0</v>
      </c>
      <c r="N139" s="639">
        <f>M139*VLOOKUP($B$9,'Base Costs'!$A$32:$B$37,2,FALSE)</f>
        <v>0</v>
      </c>
      <c r="O139" s="642">
        <f t="shared" si="15"/>
        <v>0</v>
      </c>
      <c r="P139"/>
      <c r="Q139"/>
      <c r="S139" s="596"/>
      <c r="Y139" s="575"/>
    </row>
    <row r="140" spans="1:26" ht="15" hidden="1" customHeight="1" outlineLevel="1" x14ac:dyDescent="0.15">
      <c r="A140" s="568">
        <v>220</v>
      </c>
      <c r="B140" s="633" t="s">
        <v>80</v>
      </c>
      <c r="C140" s="654"/>
      <c r="D140" s="644" t="s">
        <v>81</v>
      </c>
      <c r="E140" s="650"/>
      <c r="F140" s="650"/>
      <c r="G140" s="659" t="str">
        <f>IF(ISNUMBER(SEARCH("KSA",$D141)),"MAX. EXTRACT (m³/s)", "")</f>
        <v/>
      </c>
      <c r="H140" s="942" t="str">
        <f>IF(ISNUMBER(SEARCH("MUAP",$D133)),"MAX.  SUPPLY (m³/s)",IF(ISNUMBER(SEARCH("SPECIAL",$D133)),"MAX.  SUPPLY (m³/s)",(IF(ISNUMBER(SEARCH("F",$D133)),"MAX.  SUPPLY (m³/s)",""))))</f>
        <v/>
      </c>
      <c r="I140" s="943"/>
      <c r="J140" s="638">
        <f>IF(C140=0,0,'Base Costs'!$B$29)</f>
        <v>0</v>
      </c>
      <c r="K140" s="639">
        <f>J140*C140</f>
        <v>0</v>
      </c>
      <c r="L140" s="640">
        <v>0.44</v>
      </c>
      <c r="M140" s="641">
        <f t="shared" si="14"/>
        <v>0</v>
      </c>
      <c r="N140" s="639">
        <f>M140*VLOOKUP($B$9,'Base Costs'!$A$32:$B$37,2,FALSE)</f>
        <v>0</v>
      </c>
      <c r="O140" s="642">
        <f t="shared" si="15"/>
        <v>0</v>
      </c>
      <c r="S140" s="596"/>
      <c r="Y140" s="575"/>
    </row>
    <row r="141" spans="1:26" ht="15" hidden="1" customHeight="1" outlineLevel="1" x14ac:dyDescent="0.15">
      <c r="A141" s="568">
        <v>103</v>
      </c>
      <c r="B141" s="633" t="s">
        <v>82</v>
      </c>
      <c r="C141" s="643">
        <f>IF(ISNUMBER(SEARCH("CMW",D133)),1,IF(F131=0,0,(ROUNDDOWN(((((F133-(100+(50*H131))))/H133)/500),0)*H131)))</f>
        <v>0</v>
      </c>
      <c r="D141" s="644" t="str">
        <f>VLOOKUP(D133,'Base Costs'!$A$39:$B$58,2,FALSE)</f>
        <v>FILTER TYPE</v>
      </c>
      <c r="E141" s="660" t="str">
        <f>IF(C141=0,0,IF(D141="KSA",ROUND(I133/C141,3),""))&amp; "  m³/s per filter"</f>
        <v>0  m³/s per filter</v>
      </c>
      <c r="F141" s="660" t="str">
        <f>IF(C141=0," Pa",ROUND((((I133*3600)/(C141*I130))^2),1)+20&amp; " Pa")</f>
        <v xml:space="preserve"> Pa</v>
      </c>
      <c r="G141" s="661" t="str">
        <f>IF(ISNUMBER(SEARCH("KSA",$D141)),$C141*0.25, "")</f>
        <v/>
      </c>
      <c r="H141" s="949" t="str">
        <f>IF(ISNUMBER(SEARCH("MUAP",$D133)),0.225*($F133/1000),IF(ISNUMBER(SEARCH("SPECIAL",$D133)),0.225*($F133/1000),(IF(ISNUMBER(SEARCH("F",$D133)),0.225*($F133/1000),""))))</f>
        <v/>
      </c>
      <c r="I141" s="943"/>
      <c r="J141" s="638">
        <f>IF(ISNA(D141),0,(VLOOKUP(D141,'Base Costs'!$Q$4:$R$11,2,FALSE)))</f>
        <v>0</v>
      </c>
      <c r="K141" s="639">
        <f>IF(ISNA(D141),0,IF(D141="MX",J141*1,J141*C141))</f>
        <v>0</v>
      </c>
      <c r="L141" s="640">
        <v>0.44</v>
      </c>
      <c r="M141" s="641">
        <f t="shared" si="14"/>
        <v>0</v>
      </c>
      <c r="N141" s="639">
        <f>M141*VLOOKUP($B$9,'Base Costs'!$A$32:$B$37,2,FALSE)</f>
        <v>0</v>
      </c>
      <c r="O141" s="642">
        <f t="shared" si="15"/>
        <v>0</v>
      </c>
      <c r="S141" s="596"/>
      <c r="Y141" s="575"/>
    </row>
    <row r="142" spans="1:26" ht="15" hidden="1" customHeight="1" outlineLevel="1" x14ac:dyDescent="0.15">
      <c r="B142" s="204" t="s">
        <v>83</v>
      </c>
      <c r="C142" s="643">
        <v>0</v>
      </c>
      <c r="D142" s="735" t="str">
        <f>VLOOKUP(D133,'Base Costs'!$A$39:$C$58,3,FALSE)</f>
        <v>PSU</v>
      </c>
      <c r="E142" s="660" t="str">
        <f>IF(C142=0,0,IF(D142="PSU",ROUND(I133/C142,3),""))&amp; " m³/s per filter"</f>
        <v>0 m³/s per filter</v>
      </c>
      <c r="F142" s="660" t="str">
        <f>IF(C142=0," Pa",ROUND((((I133*3600)/(C142*I130))^2),1)+20&amp; " Pa")</f>
        <v xml:space="preserve"> Pa</v>
      </c>
      <c r="G142" s="661" t="str">
        <f>IF(ISNUMBER(SEARCH("KSA",$D142)),$C142*0.25, "")</f>
        <v/>
      </c>
      <c r="H142" s="949" t="str">
        <f>IF(ISNUMBER(SEARCH("MUAP",$D133)),0.225*($F133/1000),IF(ISNUMBER(SEARCH("SPECIAL",$D133)),0.225*($F133/1000),(IF(ISNUMBER(SEARCH("F",$D133)),0.225*($F133/1000),""))))</f>
        <v/>
      </c>
      <c r="I142" s="943"/>
      <c r="J142" s="638">
        <f>IF(ISNA(D142),0,(VLOOKUP(D142,'Base Costs'!$Q$4:$R$13,2,FALSE)))</f>
        <v>112.678</v>
      </c>
      <c r="K142" s="639">
        <f>IF(ISNA(D142),0,IF(D142="MX",J142*1,J142*C142))</f>
        <v>0</v>
      </c>
      <c r="L142" s="640">
        <v>0.44</v>
      </c>
      <c r="M142" s="641">
        <f t="shared" si="14"/>
        <v>0</v>
      </c>
      <c r="N142" s="639">
        <f>M142*VLOOKUP($B$9,'Base Costs'!$A$32:$B$37,2,FALSE)</f>
        <v>0</v>
      </c>
      <c r="O142" s="642">
        <f t="shared" si="15"/>
        <v>0</v>
      </c>
      <c r="S142" s="596"/>
      <c r="Y142" s="575"/>
    </row>
    <row r="143" spans="1:26" ht="15" hidden="1" customHeight="1" outlineLevel="1" x14ac:dyDescent="0.15">
      <c r="A143" s="568">
        <v>107</v>
      </c>
      <c r="B143" s="662" t="str">
        <f>IF(ISNUMBER(SEARCH("UV",D133)),"UV-C COMPONENTS",IF(ISNUMBER(SEARCH("CMW",D133)),"WATERWASH COMPONENTS",""))</f>
        <v/>
      </c>
      <c r="C143" s="663" t="str">
        <f>IF(H131=0,"UVR",IF(I133=0,"UVR",IF(I143&gt;0,("UVR")&amp;(INDEX('Base Costs'!$AH$5:$AI$10,(MATCH((I133/H131),'Base Costs'!$AI$5:$AI$10,-1)),1))&amp;("-")&amp;(H131),"UVR")))</f>
        <v>UVR</v>
      </c>
      <c r="D143" s="671" t="str">
        <f>VLOOKUP(C143,'Base Costs'!$Z$4:$AF$77,7,FALSE)&amp;" m³/s"</f>
        <v xml:space="preserve"> m³/s</v>
      </c>
      <c r="E143" s="665" t="str">
        <f>IF(ISNUMBER(SEARCH("L",C143)),"LONG RACK IN SECTION","SHORTRACK")</f>
        <v>SHORTRACK</v>
      </c>
      <c r="F143" s="666" t="str">
        <f>IF(ISNUMBER(SEARCH("L",C143)),ROUND(F133/H133,1)&amp;" mm","")</f>
        <v/>
      </c>
      <c r="G143" s="656"/>
      <c r="H143" s="656"/>
      <c r="I143" s="653">
        <f>IF(ISNUMBER(SEARCH("UV",D133)),1, 0)</f>
        <v>0</v>
      </c>
      <c r="J143" s="638">
        <f>IF(ISNA(C143),0,VLOOKUP(C143,'Base Costs'!$Z$4:$AF$77,2,FALSE))</f>
        <v>0</v>
      </c>
      <c r="K143" s="639">
        <f>J143*1</f>
        <v>0</v>
      </c>
      <c r="L143" s="640">
        <v>0.44</v>
      </c>
      <c r="M143" s="641">
        <f t="shared" si="14"/>
        <v>0</v>
      </c>
      <c r="N143" s="639">
        <f>M143*VLOOKUP($B$9,'Base Costs'!$A$32:$B$37,2,FALSE)</f>
        <v>0</v>
      </c>
      <c r="O143" s="642">
        <f t="shared" si="15"/>
        <v>0</v>
      </c>
      <c r="S143" s="596"/>
      <c r="Y143" s="575"/>
    </row>
    <row r="144" spans="1:26" ht="15" hidden="1" customHeight="1" outlineLevel="1" x14ac:dyDescent="0.15">
      <c r="B144" s="633" t="str">
        <f>IF(ISNUMBER(SEARCH("UV",D133)),"UV-C 2ND FILTER",IF(ISNUMBER(SEARCH("CMW",D133)),"CONTROL PANEL",""))</f>
        <v/>
      </c>
      <c r="C144" s="660" t="s">
        <v>84</v>
      </c>
      <c r="D144" s="662" t="str">
        <f>IF(ISNUMBER(SEARCH("CP1S",$C144)),"Up to 12m of canopy","")</f>
        <v/>
      </c>
      <c r="E144" s="662" t="str">
        <f>IF(ISNUMBER(SEARCH("CMW",$D133)),"CWS REQUIREMENT @ 2Bar","")</f>
        <v/>
      </c>
      <c r="F144" s="667" t="str">
        <f>IF(ISNUMBER(SEARCH("CMW",$D133)),$F133/1000*0.02&amp;" L/S","")</f>
        <v/>
      </c>
      <c r="G144" s="656"/>
      <c r="H144" s="652"/>
      <c r="I144" s="653">
        <f>C141</f>
        <v>0</v>
      </c>
      <c r="J144" s="638">
        <f>IF(ISNUMBER(SEARCH("CMW",D133)),VLOOKUP(C144,CCBASE!$A$81:$B$85,2,FALSE),(IF(I143&gt;0,'Base Costs'!$R$7,0)))</f>
        <v>0</v>
      </c>
      <c r="K144" s="639">
        <f>J144*C141</f>
        <v>0</v>
      </c>
      <c r="L144" s="640">
        <v>0.44</v>
      </c>
      <c r="M144" s="641">
        <f t="shared" si="14"/>
        <v>0</v>
      </c>
      <c r="N144" s="639">
        <f>M144*VLOOKUP($B$9,'Base Costs'!$A$32:$B$37,2,FALSE)</f>
        <v>0</v>
      </c>
      <c r="O144" s="642">
        <f t="shared" si="15"/>
        <v>0</v>
      </c>
      <c r="S144" s="596"/>
      <c r="Y144" s="575"/>
    </row>
    <row r="145" spans="1:26" ht="15" hidden="1" customHeight="1" outlineLevel="1" x14ac:dyDescent="0.15">
      <c r="A145" s="568">
        <v>285</v>
      </c>
      <c r="B145" s="633" t="str">
        <f>IF(ISNUMBER(SEARCH("UV",D133)),"UV-C WORKSHOP WIRING",IF(ISNUMBER(SEARCH("CMW",D133)),"W/W PODS",""))</f>
        <v/>
      </c>
      <c r="C145" s="660" t="s">
        <v>85</v>
      </c>
      <c r="D145" s="660">
        <v>0</v>
      </c>
      <c r="E145" s="662" t="str">
        <f>IF(ISNUMBER(SEARCH("CMW",$D133)),"HWS REQUIREMENT @ 60°C ","")</f>
        <v/>
      </c>
      <c r="F145" s="668" t="str">
        <f>IF(ISNUMBER(SEARCH("CMW",$D133)),$F133/1000*0.103&amp;" L/S","")</f>
        <v/>
      </c>
      <c r="G145" s="656"/>
      <c r="H145" s="652"/>
      <c r="I145" s="653">
        <f>IF(I143&gt;0,H131,0)</f>
        <v>0</v>
      </c>
      <c r="J145" s="638">
        <f>IF(ISNUMBER(SEARCH("CMW",D133)),VLOOKUP(C145,'Base Costs'!$Q$35:$R$45,2,FALSE),IF(I145=0,0,36*1.03))</f>
        <v>0</v>
      </c>
      <c r="K145" s="639">
        <f>IF(ISNUMBER(SEARCH("CMW",D133)),J145*D145,J145*H131)</f>
        <v>0</v>
      </c>
      <c r="L145" s="640">
        <v>0.44</v>
      </c>
      <c r="M145" s="641">
        <f t="shared" si="14"/>
        <v>0</v>
      </c>
      <c r="N145" s="639">
        <f>M145*VLOOKUP($B$9,'Base Costs'!$A$32:$B$37,2,FALSE)</f>
        <v>0</v>
      </c>
      <c r="O145" s="642">
        <f t="shared" si="15"/>
        <v>0</v>
      </c>
      <c r="S145" s="596"/>
      <c r="Y145" s="575"/>
    </row>
    <row r="146" spans="1:26" ht="15" hidden="1" customHeight="1" outlineLevel="1" x14ac:dyDescent="0.15">
      <c r="A146" s="568">
        <v>286</v>
      </c>
      <c r="B146" s="633" t="str">
        <f>IF(ISNUMBER(SEARCH("CMW",$D133)),"CWS/HWS PIPEWORK UP TO 5M",IF(ISNUMBER(SEARCH("UV",$D133)),"MU5 INTERFACE", ""))</f>
        <v/>
      </c>
      <c r="C146" s="660">
        <v>1</v>
      </c>
      <c r="D146" s="669"/>
      <c r="E146" s="662" t="str">
        <f>IF(ISNUMBER(SEARCH("CMW",$D133)),"HW STORAGE 3m wash","")</f>
        <v/>
      </c>
      <c r="F146" s="667" t="str">
        <f>IF(ISNUMBER(SEARCH("CMW",$D133)),($F133/1000)*0.103*180&amp;" L","")</f>
        <v/>
      </c>
      <c r="G146" s="651"/>
      <c r="H146" s="652"/>
      <c r="I146" s="653">
        <f>IF(I143=0,0,1)</f>
        <v>0</v>
      </c>
      <c r="J146" s="638">
        <f>IF(B146="CWS/HWS PIPEWORK UP TO 5M",CCBASE!$B$65,IF(I146=0,0,100*1.44))</f>
        <v>0</v>
      </c>
      <c r="K146" s="639">
        <f>J146*C146</f>
        <v>0</v>
      </c>
      <c r="L146" s="640">
        <v>0.44</v>
      </c>
      <c r="M146" s="641">
        <f t="shared" si="14"/>
        <v>0</v>
      </c>
      <c r="N146" s="639">
        <f>M146*VLOOKUP($B$9,'Base Costs'!$A$32:$B$37,2,FALSE)</f>
        <v>0</v>
      </c>
      <c r="O146" s="642">
        <f t="shared" si="15"/>
        <v>0</v>
      </c>
      <c r="S146" s="596"/>
      <c r="Y146" s="575"/>
    </row>
    <row r="147" spans="1:26" ht="15" customHeight="1" collapsed="1" x14ac:dyDescent="0.15">
      <c r="B147" s="616"/>
      <c r="C147" s="672"/>
      <c r="E147" s="672"/>
      <c r="F147" s="672"/>
      <c r="G147" s="618" t="s">
        <v>23</v>
      </c>
      <c r="H147" s="617"/>
      <c r="I147" s="618">
        <f>IF(ISNUMBER(SEARCH("UV",D150)),49.7,71.75)</f>
        <v>71.75</v>
      </c>
      <c r="J147" s="619"/>
      <c r="K147" s="673"/>
      <c r="L147" s="674"/>
      <c r="M147" s="673"/>
      <c r="N147" s="673"/>
      <c r="S147" s="596"/>
      <c r="Y147" s="575"/>
    </row>
    <row r="148" spans="1:26" s="576" customFormat="1" ht="15" customHeight="1" x14ac:dyDescent="0.15">
      <c r="A148" s="568"/>
      <c r="B148" s="176" t="s">
        <v>86</v>
      </c>
      <c r="C148" s="622">
        <f>IF(H148&lt;1,0,(((VLOOKUP(G148,CC!$D$2:$F$670,3,FALSE))*H148)+IF(ISNUMBER(SEARCH("CMW",D150)),VLOOKUP(C161,CCBASE!$A$81:$C$85,3,FALSE),0)+(VLOOKUP(C153,CCBASE!$A$53:$C$73,3,FALSE)*D153)+(VLOOKUP(C154,CCBASE!$A$53:$C$73,3,FALSE)*D154))&amp;" HRS")</f>
        <v>0</v>
      </c>
      <c r="D148" s="623" t="str">
        <f>D150</f>
        <v>CANOPY TYPE</v>
      </c>
      <c r="E148" s="604">
        <f>CEILING(IF(C150="WALL",E150, (E150/2)),250)</f>
        <v>0</v>
      </c>
      <c r="F148" s="604">
        <f>IF(H148&lt;1,0,CEILING((F150-100)/H150,250))</f>
        <v>0</v>
      </c>
      <c r="G148" s="623" t="str">
        <f>D148&amp;F148&amp;E148</f>
        <v>CANOPY TYPE00</v>
      </c>
      <c r="H148" s="622">
        <f>IF(E150=0,0,IF(F150=0,0,(E150/(IF(C150="WALL",E150,(E150/2)))*H150)))</f>
        <v>0</v>
      </c>
      <c r="I148" s="622" t="str">
        <f>I150&amp;" m³/s"</f>
        <v xml:space="preserve"> m³/s</v>
      </c>
      <c r="J148" s="624"/>
      <c r="K148" s="625">
        <f>SUBTOTAL(9,K150:K163)</f>
        <v>0</v>
      </c>
      <c r="L148" s="606" t="str">
        <f>IF(K148=0,"-",O148/M148)</f>
        <v>-</v>
      </c>
      <c r="M148" s="625">
        <f>SUBTOTAL(9,M150:M163)</f>
        <v>0</v>
      </c>
      <c r="N148" s="607">
        <f>SUBTOTAL(9,N150:N163)</f>
        <v>0</v>
      </c>
      <c r="O148" s="625">
        <f>SUBTOTAL(9,O150:O163)</f>
        <v>0</v>
      </c>
      <c r="P148" s="575"/>
      <c r="Q148" s="575"/>
      <c r="R148" s="575"/>
      <c r="S148" s="615"/>
      <c r="T148" s="575"/>
      <c r="X148" s="575"/>
      <c r="Y148" s="575"/>
      <c r="Z148" s="575"/>
    </row>
    <row r="149" spans="1:26" ht="15" hidden="1" customHeight="1" outlineLevel="1" x14ac:dyDescent="0.15">
      <c r="B149" s="626"/>
      <c r="C149" s="627" t="s">
        <v>54</v>
      </c>
      <c r="D149" s="628" t="s">
        <v>55</v>
      </c>
      <c r="E149" s="627" t="s">
        <v>56</v>
      </c>
      <c r="F149" s="627" t="s">
        <v>57</v>
      </c>
      <c r="G149" s="627" t="s">
        <v>58</v>
      </c>
      <c r="H149" s="627" t="s">
        <v>59</v>
      </c>
      <c r="I149" s="628" t="s">
        <v>60</v>
      </c>
      <c r="J149" s="629"/>
      <c r="K149" s="630"/>
      <c r="L149" s="630"/>
      <c r="M149" s="631"/>
      <c r="N149" s="632"/>
      <c r="O149" s="614"/>
      <c r="S149" s="596"/>
      <c r="Y149" s="575"/>
    </row>
    <row r="150" spans="1:26" ht="15" hidden="1" customHeight="1" outlineLevel="1" x14ac:dyDescent="0.2">
      <c r="A150" s="568">
        <v>210</v>
      </c>
      <c r="B150" s="633" t="s">
        <v>61</v>
      </c>
      <c r="C150" s="634" t="s">
        <v>62</v>
      </c>
      <c r="D150" s="635" t="s">
        <v>87</v>
      </c>
      <c r="E150" s="636"/>
      <c r="F150" s="636"/>
      <c r="G150" s="636"/>
      <c r="H150" s="637"/>
      <c r="I150" s="636"/>
      <c r="J150" s="638">
        <f>IF(ISNA(C148),0,IF(F148&gt;3000,0,(IF(H148&lt;1,0,((VLOOKUP(G148,CC!$D$2:$E$670,2,FALSE))*H148)+((VLOOKUP(G148,CC!$D$2:$AD$670,17,FALSE)*(H148/H150)))))))</f>
        <v>0</v>
      </c>
      <c r="K150" s="639">
        <f>J150*1</f>
        <v>0</v>
      </c>
      <c r="L150" s="640">
        <v>0.44</v>
      </c>
      <c r="M150" s="641">
        <f t="shared" ref="M150:M163" si="16">K150/(1-L150)*(1+$C$9)</f>
        <v>0</v>
      </c>
      <c r="N150" s="639">
        <f>M150*VLOOKUP($B$9,'Base Costs'!$A$32:$B$37,2,FALSE)</f>
        <v>0</v>
      </c>
      <c r="O150" s="642">
        <f t="shared" ref="O150:O163" si="17">M150-K150</f>
        <v>0</v>
      </c>
      <c r="S150" s="596"/>
      <c r="Y150" s="575"/>
    </row>
    <row r="151" spans="1:26" ht="15" hidden="1" customHeight="1" outlineLevel="1" x14ac:dyDescent="0.15">
      <c r="A151" s="568">
        <v>104</v>
      </c>
      <c r="B151" s="633" t="s">
        <v>64</v>
      </c>
      <c r="C151" s="635" t="s">
        <v>65</v>
      </c>
      <c r="D151" s="643"/>
      <c r="E151" s="644"/>
      <c r="F151" s="645"/>
      <c r="G151" s="646"/>
      <c r="H151" s="570"/>
      <c r="I151" s="570"/>
      <c r="J151" s="638">
        <f>IF(ISNA(C148),0,IF(D151=0,0,IF(C151="FLO",VLOOKUP(E151,'Base Costs'!$M$4:$N$14,2,FALSE),IF(C151="LED STRIP",VLOOKUP(E151,'Base Costs'!$M$4:$N$14,2,FALSE),(VLOOKUP(C151,'Base Costs'!$M$4:$N$14,2,FALSE))))))</f>
        <v>0</v>
      </c>
      <c r="K151" s="639">
        <f>J151*D151</f>
        <v>0</v>
      </c>
      <c r="L151" s="640">
        <v>0.31</v>
      </c>
      <c r="M151" s="641">
        <f t="shared" si="16"/>
        <v>0</v>
      </c>
      <c r="N151" s="639">
        <f>M151*VLOOKUP($B$9,'Base Costs'!$A$32:$B$37,2,FALSE)</f>
        <v>0</v>
      </c>
      <c r="O151" s="642">
        <f t="shared" si="17"/>
        <v>0</v>
      </c>
      <c r="P151" s="647"/>
      <c r="S151" s="596"/>
      <c r="Y151" s="575"/>
    </row>
    <row r="152" spans="1:26" ht="15" hidden="1" customHeight="1" outlineLevel="1" x14ac:dyDescent="0.15">
      <c r="A152" s="568">
        <v>234</v>
      </c>
      <c r="B152" s="204" t="s">
        <v>66</v>
      </c>
      <c r="C152" s="654" t="s">
        <v>67</v>
      </c>
      <c r="D152" s="637"/>
      <c r="E152" s="655" t="str">
        <f>IF(C152="","",VLOOKUP(C152,CCBASE!$A$53:$D$73,4,FALSE))</f>
        <v/>
      </c>
      <c r="F152" s="656"/>
      <c r="G152" s="651"/>
      <c r="H152" s="652"/>
      <c r="I152" s="657"/>
      <c r="J152" s="638">
        <f>IF(C152="",0,VLOOKUP(C152,CCBASE!$A$53:$C$73,2,FALSE))</f>
        <v>0</v>
      </c>
      <c r="K152" s="639">
        <f>J152*D152</f>
        <v>0</v>
      </c>
      <c r="L152" s="640">
        <v>0.44</v>
      </c>
      <c r="M152" s="641">
        <f t="shared" si="16"/>
        <v>0</v>
      </c>
      <c r="N152" s="639">
        <f>M152*VLOOKUP($B$9,'Base Costs'!$A$32:$B$37,2,FALSE)</f>
        <v>0</v>
      </c>
      <c r="O152" s="642">
        <f t="shared" si="17"/>
        <v>0</v>
      </c>
      <c r="S152" s="596"/>
      <c r="Y152" s="575"/>
    </row>
    <row r="153" spans="1:26" ht="15" hidden="1" customHeight="1" outlineLevel="1" x14ac:dyDescent="0.15">
      <c r="B153" s="487" t="s">
        <v>66</v>
      </c>
      <c r="C153" s="33" t="s">
        <v>67</v>
      </c>
      <c r="D153" s="637"/>
      <c r="E153" s="655" t="str">
        <f>IF(C153="","",VLOOKUP(C153,CCBASE!$A$53:$D$73,4,FALSE))</f>
        <v/>
      </c>
      <c r="F153" s="656"/>
      <c r="G153" s="651"/>
      <c r="H153" s="652"/>
      <c r="I153" s="657"/>
      <c r="J153" s="638">
        <f>IF(C153="",0,VLOOKUP(C153,CCBASE!$A$53:$C$73,2,FALSE))</f>
        <v>0</v>
      </c>
      <c r="K153" s="639">
        <f>J153*D153</f>
        <v>0</v>
      </c>
      <c r="L153" s="640">
        <v>0.44</v>
      </c>
      <c r="M153" s="641">
        <f t="shared" si="16"/>
        <v>0</v>
      </c>
      <c r="N153" s="639">
        <f>M153*VLOOKUP($B$9,'Base Costs'!$A$32:$B$37,2,FALSE)</f>
        <v>0</v>
      </c>
      <c r="O153" s="642">
        <f t="shared" si="17"/>
        <v>0</v>
      </c>
      <c r="S153" s="596"/>
      <c r="Y153" s="575"/>
    </row>
    <row r="154" spans="1:26" ht="15" hidden="1" customHeight="1" outlineLevel="1" x14ac:dyDescent="0.15">
      <c r="B154" s="869" t="s">
        <v>66</v>
      </c>
      <c r="C154" s="870" t="s">
        <v>69</v>
      </c>
      <c r="D154" s="858"/>
      <c r="E154" s="859" t="str">
        <f>IF(C154="","",VLOOKUP(C154,CCBASE!$A$53:$D$73,4,FALSE))</f>
        <v>SECTION(S) OF CANOPY</v>
      </c>
      <c r="F154" s="860"/>
      <c r="G154" s="855"/>
      <c r="H154" s="861"/>
      <c r="I154" s="862"/>
      <c r="J154" s="863">
        <f>IF(C154="",0,VLOOKUP(C154,CCBASE!$A$53:$C$73,2,FALSE))</f>
        <v>50</v>
      </c>
      <c r="K154" s="864">
        <f>J154*D154</f>
        <v>0</v>
      </c>
      <c r="L154" s="865">
        <v>0.44</v>
      </c>
      <c r="M154" s="866">
        <f t="shared" si="16"/>
        <v>0</v>
      </c>
      <c r="N154" s="864">
        <f>M154*VLOOKUP($B$9,'Base Costs'!$A$32:$B$37,2,FALSE)</f>
        <v>0</v>
      </c>
      <c r="O154" s="867">
        <f t="shared" si="17"/>
        <v>0</v>
      </c>
      <c r="P154" s="868" t="s">
        <v>70</v>
      </c>
      <c r="S154" s="596"/>
      <c r="Y154" s="575"/>
    </row>
    <row r="155" spans="1:26" ht="15" hidden="1" customHeight="1" outlineLevel="1" x14ac:dyDescent="0.15">
      <c r="A155" s="568">
        <v>289</v>
      </c>
      <c r="B155" s="487" t="s">
        <v>71</v>
      </c>
      <c r="C155" s="33" t="s">
        <v>72</v>
      </c>
      <c r="D155" s="658">
        <f>ROUNDUP($F150/1000,0)</f>
        <v>0</v>
      </c>
      <c r="E155" s="950" t="s">
        <v>73</v>
      </c>
      <c r="F155" s="941"/>
      <c r="G155" s="656"/>
      <c r="H155" s="652"/>
      <c r="I155" s="657"/>
      <c r="J155" s="638">
        <f>IF(D155=0,0,VLOOKUP(C155,'Base Costs'!$A$19:$B$22,2,FALSE))</f>
        <v>0</v>
      </c>
      <c r="K155" s="639">
        <f>J155*D155</f>
        <v>0</v>
      </c>
      <c r="L155" s="640">
        <v>0.44</v>
      </c>
      <c r="M155" s="641">
        <f t="shared" si="16"/>
        <v>0</v>
      </c>
      <c r="N155" s="639">
        <f>M155*VLOOKUP($B$9,'Base Costs'!$A$32:$B$37,2,FALSE)</f>
        <v>0</v>
      </c>
      <c r="O155" s="642">
        <f t="shared" si="17"/>
        <v>0</v>
      </c>
      <c r="S155" s="596"/>
      <c r="Y155" s="575"/>
    </row>
    <row r="156" spans="1:26" ht="15" hidden="1" customHeight="1" outlineLevel="1" x14ac:dyDescent="0.15">
      <c r="A156" s="568">
        <v>242</v>
      </c>
      <c r="B156" s="487" t="s">
        <v>77</v>
      </c>
      <c r="C156" s="654"/>
      <c r="D156" s="644" t="s">
        <v>78</v>
      </c>
      <c r="E156" s="651"/>
      <c r="F156" s="650"/>
      <c r="G156" s="651"/>
      <c r="H156" s="652"/>
      <c r="I156" s="657"/>
      <c r="J156" s="638">
        <f>IF(C156=0,0,'Base Costs'!$B$26)</f>
        <v>0</v>
      </c>
      <c r="K156" s="639">
        <f>J156*C156</f>
        <v>0</v>
      </c>
      <c r="L156" s="640">
        <v>0.44</v>
      </c>
      <c r="M156" s="641">
        <f t="shared" si="16"/>
        <v>0</v>
      </c>
      <c r="N156" s="639">
        <f>M156*VLOOKUP($B$9,'Base Costs'!$A$32:$B$37,2,FALSE)</f>
        <v>0</v>
      </c>
      <c r="O156" s="642">
        <f t="shared" si="17"/>
        <v>0</v>
      </c>
      <c r="P156"/>
      <c r="Q156"/>
      <c r="S156" s="596"/>
      <c r="Y156" s="575"/>
    </row>
    <row r="157" spans="1:26" ht="15" hidden="1" customHeight="1" outlineLevel="1" x14ac:dyDescent="0.15">
      <c r="A157" s="568">
        <v>220</v>
      </c>
      <c r="B157" s="633" t="s">
        <v>80</v>
      </c>
      <c r="C157" s="654"/>
      <c r="D157" s="644" t="s">
        <v>81</v>
      </c>
      <c r="E157" s="650"/>
      <c r="F157" s="650"/>
      <c r="G157" s="659" t="str">
        <f>IF(ISNUMBER(SEARCH("KSA",$D158)),"MAX. EXTRACT (m³/s)", "")</f>
        <v/>
      </c>
      <c r="H157" s="942" t="str">
        <f>IF(ISNUMBER(SEARCH("MUAP",$D150)),"MAX.  SUPPLY (m³/s)",IF(ISNUMBER(SEARCH("SPECIAL",$D150)),"MAX.  SUPPLY (m³/s)",(IF(ISNUMBER(SEARCH("F",$D150)),"MAX.  SUPPLY (m³/s)",""))))</f>
        <v/>
      </c>
      <c r="I157" s="943"/>
      <c r="J157" s="638">
        <f>IF(C157=0,0,'Base Costs'!$B$29)</f>
        <v>0</v>
      </c>
      <c r="K157" s="639">
        <f>J157*C157</f>
        <v>0</v>
      </c>
      <c r="L157" s="640">
        <v>0.44</v>
      </c>
      <c r="M157" s="641">
        <f t="shared" si="16"/>
        <v>0</v>
      </c>
      <c r="N157" s="639">
        <f>M157*VLOOKUP($B$9,'Base Costs'!$A$32:$B$37,2,FALSE)</f>
        <v>0</v>
      </c>
      <c r="O157" s="642">
        <f t="shared" si="17"/>
        <v>0</v>
      </c>
      <c r="S157" s="596"/>
      <c r="Y157" s="575"/>
    </row>
    <row r="158" spans="1:26" ht="15" hidden="1" customHeight="1" outlineLevel="1" x14ac:dyDescent="0.15">
      <c r="A158" s="568">
        <v>103</v>
      </c>
      <c r="B158" s="633" t="s">
        <v>82</v>
      </c>
      <c r="C158" s="643">
        <f>IF(ISNUMBER(SEARCH("CMW",D150)),1,IF(F148=0,0,(ROUNDDOWN(((((F150-(100+(50*H148))))/H150)/500),0)*H148)))</f>
        <v>0</v>
      </c>
      <c r="D158" s="644" t="str">
        <f>VLOOKUP(D150,'Base Costs'!$A$39:$B$58,2,FALSE)</f>
        <v>FILTER TYPE</v>
      </c>
      <c r="E158" s="660" t="str">
        <f>IF(C158=0,0,IF(D158="KSA",ROUND(I150/C158,3),""))&amp; "  m³/s per filter"</f>
        <v>0  m³/s per filter</v>
      </c>
      <c r="F158" s="660" t="str">
        <f>IF(C158=0," Pa",ROUND((((I150*3600)/(C158*I147))^2),1)+20&amp; " Pa")</f>
        <v xml:space="preserve"> Pa</v>
      </c>
      <c r="G158" s="661" t="str">
        <f>IF(ISNUMBER(SEARCH("KSA",$D158)),$C158*0.25, "")</f>
        <v/>
      </c>
      <c r="H158" s="949" t="str">
        <f>IF(ISNUMBER(SEARCH("MUAP",$D150)),0.225*($F150/1000),IF(ISNUMBER(SEARCH("SPECIAL",$D150)),0.225*($F150/1000),(IF(ISNUMBER(SEARCH("F",$D150)),0.225*($F150/1000),""))))</f>
        <v/>
      </c>
      <c r="I158" s="943"/>
      <c r="J158" s="638">
        <f>IF(ISNA(D158),0,(VLOOKUP(D158,'Base Costs'!$Q$4:$R$11,2,FALSE)))</f>
        <v>0</v>
      </c>
      <c r="K158" s="639">
        <f>IF(ISNA(D158),0,IF(D158="MX",J158*1,J158*C158))</f>
        <v>0</v>
      </c>
      <c r="L158" s="640">
        <v>0.44</v>
      </c>
      <c r="M158" s="641">
        <f t="shared" si="16"/>
        <v>0</v>
      </c>
      <c r="N158" s="639">
        <f>M158*VLOOKUP($B$9,'Base Costs'!$A$32:$B$37,2,FALSE)</f>
        <v>0</v>
      </c>
      <c r="O158" s="642">
        <f t="shared" si="17"/>
        <v>0</v>
      </c>
      <c r="S158" s="596"/>
      <c r="Y158" s="575"/>
    </row>
    <row r="159" spans="1:26" ht="15" hidden="1" customHeight="1" outlineLevel="1" x14ac:dyDescent="0.15">
      <c r="B159" s="204" t="s">
        <v>83</v>
      </c>
      <c r="C159" s="643">
        <v>0</v>
      </c>
      <c r="D159" s="735" t="str">
        <f>VLOOKUP(D150,'Base Costs'!$A$39:$C$58,3,FALSE)</f>
        <v>PSU</v>
      </c>
      <c r="E159" s="660" t="str">
        <f>IF(C159=0,0,IF(D159="PSU",ROUND(I150/C159,3),""))&amp; " m³/s per filter"</f>
        <v>0 m³/s per filter</v>
      </c>
      <c r="F159" s="660" t="str">
        <f>IF(C159=0," Pa",ROUND((((I150*3600)/(C159*I147))^2),1)+20&amp; " Pa")</f>
        <v xml:space="preserve"> Pa</v>
      </c>
      <c r="G159" s="661" t="str">
        <f>IF(ISNUMBER(SEARCH("KSA",$D159)),$C159*0.25, "")</f>
        <v/>
      </c>
      <c r="H159" s="949" t="str">
        <f>IF(ISNUMBER(SEARCH("MUAP",$D150)),0.225*($F150/1000),IF(ISNUMBER(SEARCH("SPECIAL",$D150)),0.225*($F150/1000),(IF(ISNUMBER(SEARCH("F",$D150)),0.225*($F150/1000),""))))</f>
        <v/>
      </c>
      <c r="I159" s="943"/>
      <c r="J159" s="638">
        <f>IF(ISNA(D159),0,(VLOOKUP(D159,'Base Costs'!$Q$4:$R$13,2,FALSE)))</f>
        <v>112.678</v>
      </c>
      <c r="K159" s="639">
        <f>IF(ISNA(D159),0,IF(D159="MX",J159*1,J159*C159))</f>
        <v>0</v>
      </c>
      <c r="L159" s="640">
        <v>0.44</v>
      </c>
      <c r="M159" s="641">
        <f t="shared" si="16"/>
        <v>0</v>
      </c>
      <c r="N159" s="639">
        <f>M159*VLOOKUP($B$9,'Base Costs'!$A$32:$B$37,2,FALSE)</f>
        <v>0</v>
      </c>
      <c r="O159" s="642">
        <f t="shared" si="17"/>
        <v>0</v>
      </c>
      <c r="S159" s="596"/>
      <c r="Y159" s="575"/>
    </row>
    <row r="160" spans="1:26" ht="15" hidden="1" customHeight="1" outlineLevel="1" x14ac:dyDescent="0.15">
      <c r="A160" s="568">
        <v>107</v>
      </c>
      <c r="B160" s="662" t="str">
        <f>IF(ISNUMBER(SEARCH("UV",D150)),"UV-C COMPONENTS",IF(ISNUMBER(SEARCH("CMW",D150)),"WATERWASH COMPONENTS",""))</f>
        <v/>
      </c>
      <c r="C160" s="663" t="str">
        <f>IF(H148=0,"UVR",IF(I150=0,"UVR",IF(I160&gt;0,("UVR")&amp;(INDEX('Base Costs'!$AH$5:$AI$10,(MATCH((I150/H148),'Base Costs'!$AI$5:$AI$10,-1)),1))&amp;("-")&amp;(H148),"UVR")))</f>
        <v>UVR</v>
      </c>
      <c r="D160" s="671" t="str">
        <f>VLOOKUP(C160,'Base Costs'!$Z$4:$AF$77,7,FALSE)&amp;" m³/s"</f>
        <v xml:space="preserve"> m³/s</v>
      </c>
      <c r="E160" s="665" t="str">
        <f>IF(ISNUMBER(SEARCH("L",C160)),"LONG RACK IN SECTION","SHORTRACK")</f>
        <v>SHORTRACK</v>
      </c>
      <c r="F160" s="666" t="str">
        <f>IF(ISNUMBER(SEARCH("L",C160)),ROUND(F150/H150,1)&amp;" mm","")</f>
        <v/>
      </c>
      <c r="G160" s="656"/>
      <c r="H160" s="656"/>
      <c r="I160" s="653">
        <f>IF(ISNUMBER(SEARCH("UV",D150)),1, 0)</f>
        <v>0</v>
      </c>
      <c r="J160" s="638">
        <f>IF(ISNA(C160),0,VLOOKUP(C160,'Base Costs'!$Z$4:$AF$77,2,FALSE))</f>
        <v>0</v>
      </c>
      <c r="K160" s="639">
        <f>J160*1</f>
        <v>0</v>
      </c>
      <c r="L160" s="640">
        <v>0.44</v>
      </c>
      <c r="M160" s="641">
        <f t="shared" si="16"/>
        <v>0</v>
      </c>
      <c r="N160" s="639">
        <f>M160*VLOOKUP($B$9,'Base Costs'!$A$32:$B$37,2,FALSE)</f>
        <v>0</v>
      </c>
      <c r="O160" s="642">
        <f t="shared" si="17"/>
        <v>0</v>
      </c>
      <c r="S160" s="596"/>
      <c r="Y160" s="575"/>
    </row>
    <row r="161" spans="1:26" ht="15" hidden="1" customHeight="1" outlineLevel="1" x14ac:dyDescent="0.15">
      <c r="B161" s="633" t="str">
        <f>IF(ISNUMBER(SEARCH("UV",D150)),"UV-C 2ND FILTER",IF(ISNUMBER(SEARCH("CMW",D150)),"CONTROL PANEL",""))</f>
        <v/>
      </c>
      <c r="C161" s="660" t="s">
        <v>84</v>
      </c>
      <c r="D161" s="662" t="str">
        <f>IF(ISNUMBER(SEARCH("CP1S",$C161)),"Up to 12m of canopy","")</f>
        <v/>
      </c>
      <c r="E161" s="662" t="str">
        <f>IF(ISNUMBER(SEARCH("CMW",$D150)),"CWS REQUIREMENT @ 2Bar","")</f>
        <v/>
      </c>
      <c r="F161" s="667" t="str">
        <f>IF(ISNUMBER(SEARCH("CMW",$D150)),$F150/1000*0.02&amp;" L/S","")</f>
        <v/>
      </c>
      <c r="G161" s="656"/>
      <c r="H161" s="652"/>
      <c r="I161" s="653">
        <f>C158</f>
        <v>0</v>
      </c>
      <c r="J161" s="638">
        <f>IF(ISNUMBER(SEARCH("CMW",D150)),VLOOKUP(C161,CCBASE!$A$81:$B$85,2,FALSE),(IF(I160&gt;0,'Base Costs'!$R$7,0)))</f>
        <v>0</v>
      </c>
      <c r="K161" s="639">
        <f>J161*C158</f>
        <v>0</v>
      </c>
      <c r="L161" s="640">
        <v>0.44</v>
      </c>
      <c r="M161" s="641">
        <f t="shared" si="16"/>
        <v>0</v>
      </c>
      <c r="N161" s="639">
        <f>M161*VLOOKUP($B$9,'Base Costs'!$A$32:$B$37,2,FALSE)</f>
        <v>0</v>
      </c>
      <c r="O161" s="642">
        <f t="shared" si="17"/>
        <v>0</v>
      </c>
      <c r="S161" s="596"/>
      <c r="Y161" s="575"/>
    </row>
    <row r="162" spans="1:26" ht="15" hidden="1" customHeight="1" outlineLevel="1" x14ac:dyDescent="0.15">
      <c r="A162" s="568">
        <v>285</v>
      </c>
      <c r="B162" s="633" t="str">
        <f>IF(ISNUMBER(SEARCH("UV",D150)),"UV-C WORKSHOP WIRING",IF(ISNUMBER(SEARCH("CMW",D150)),"W/W PODS",""))</f>
        <v/>
      </c>
      <c r="C162" s="660" t="s">
        <v>85</v>
      </c>
      <c r="D162" s="660">
        <v>0</v>
      </c>
      <c r="E162" s="662" t="str">
        <f>IF(ISNUMBER(SEARCH("CMW",$D150)),"HWS REQUIREMENT @ 60°C ","")</f>
        <v/>
      </c>
      <c r="F162" s="668" t="str">
        <f>IF(ISNUMBER(SEARCH("CMW",$D150)),$F150/1000*0.103&amp;" L/S","")</f>
        <v/>
      </c>
      <c r="G162" s="656"/>
      <c r="H162" s="652"/>
      <c r="I162" s="653">
        <f>IF(I160&gt;0,H148,0)</f>
        <v>0</v>
      </c>
      <c r="J162" s="638">
        <f>IF(ISNUMBER(SEARCH("CMW",D150)),VLOOKUP(C162,'Base Costs'!$Q$35:$R$45,2,FALSE),IF(I162=0,0,36*1.03))</f>
        <v>0</v>
      </c>
      <c r="K162" s="639">
        <f>IF(ISNUMBER(SEARCH("CMW",D150)),J162*D162,J162*H148)</f>
        <v>0</v>
      </c>
      <c r="L162" s="640">
        <v>0.44</v>
      </c>
      <c r="M162" s="641">
        <f t="shared" si="16"/>
        <v>0</v>
      </c>
      <c r="N162" s="639">
        <f>M162*VLOOKUP($B$9,'Base Costs'!$A$32:$B$37,2,FALSE)</f>
        <v>0</v>
      </c>
      <c r="O162" s="642">
        <f t="shared" si="17"/>
        <v>0</v>
      </c>
      <c r="S162" s="596"/>
      <c r="Y162" s="575"/>
    </row>
    <row r="163" spans="1:26" ht="15" hidden="1" customHeight="1" outlineLevel="1" x14ac:dyDescent="0.15">
      <c r="A163" s="568">
        <v>286</v>
      </c>
      <c r="B163" s="633" t="str">
        <f>IF(ISNUMBER(SEARCH("CMW",$D150)),"CWS/HWS PIPEWORK UP TO 5M",IF(ISNUMBER(SEARCH("UV",$D150)),"MU5 INTERFACE", ""))</f>
        <v/>
      </c>
      <c r="C163" s="660">
        <v>1</v>
      </c>
      <c r="D163" s="669"/>
      <c r="E163" s="662" t="str">
        <f>IF(ISNUMBER(SEARCH("CMW",$D150)),"HW STORAGE 3m wash","")</f>
        <v/>
      </c>
      <c r="F163" s="667" t="str">
        <f>IF(ISNUMBER(SEARCH("CMW",$D150)),($F150/1000)*0.103*180&amp;" L","")</f>
        <v/>
      </c>
      <c r="G163" s="651"/>
      <c r="H163" s="652"/>
      <c r="I163" s="653">
        <f>IF(I160=0,0,1)</f>
        <v>0</v>
      </c>
      <c r="J163" s="638">
        <f>IF(B163="CWS/HWS PIPEWORK UP TO 5M",CCBASE!$B$65,IF(I163=0,0,100*1.44))</f>
        <v>0</v>
      </c>
      <c r="K163" s="639">
        <f>J163*C163</f>
        <v>0</v>
      </c>
      <c r="L163" s="640">
        <v>0.44</v>
      </c>
      <c r="M163" s="641">
        <f t="shared" si="16"/>
        <v>0</v>
      </c>
      <c r="N163" s="639">
        <f>M163*VLOOKUP($B$9,'Base Costs'!$A$32:$B$37,2,FALSE)</f>
        <v>0</v>
      </c>
      <c r="O163" s="642">
        <f t="shared" si="17"/>
        <v>0</v>
      </c>
      <c r="S163" s="596"/>
      <c r="Y163" s="575"/>
    </row>
    <row r="164" spans="1:26" ht="15" customHeight="1" collapsed="1" x14ac:dyDescent="0.15">
      <c r="B164" s="616"/>
      <c r="C164" s="672"/>
      <c r="E164" s="672"/>
      <c r="F164" s="672"/>
      <c r="G164" s="618" t="s">
        <v>23</v>
      </c>
      <c r="H164" s="617"/>
      <c r="I164" s="618">
        <f>IF(ISNUMBER(SEARCH("UV",D167)),49.7,71.75)</f>
        <v>71.75</v>
      </c>
      <c r="J164" s="619"/>
      <c r="K164" s="673"/>
      <c r="L164" s="674"/>
      <c r="M164" s="673"/>
      <c r="N164" s="673"/>
      <c r="S164" s="596"/>
      <c r="Y164" s="575"/>
    </row>
    <row r="165" spans="1:26" s="576" customFormat="1" ht="15" customHeight="1" x14ac:dyDescent="0.15">
      <c r="A165" s="568"/>
      <c r="B165" s="176" t="s">
        <v>86</v>
      </c>
      <c r="C165" s="622">
        <f>IF(H165&lt;1,0,(((VLOOKUP(G165,CC!$D$2:$F$670,3,FALSE))*H165)+IF(ISNUMBER(SEARCH("CMW",D167)),VLOOKUP(C178,CCBASE!$A$81:$C$85,3,FALSE),0)+(VLOOKUP(C170,CCBASE!$A$53:$C$73,3,FALSE)*D170)+(VLOOKUP(C171,CCBASE!$A$53:$C$73,3,FALSE)*D171))&amp;" HRS")</f>
        <v>0</v>
      </c>
      <c r="D165" s="623" t="str">
        <f>D167</f>
        <v>CANOPY TYPE</v>
      </c>
      <c r="E165" s="604">
        <f>CEILING(IF(C167="WALL",E167, (E167/2)),250)</f>
        <v>0</v>
      </c>
      <c r="F165" s="604">
        <f>IF(H165&lt;1,0,CEILING((F167-100)/H167,250))</f>
        <v>0</v>
      </c>
      <c r="G165" s="623" t="str">
        <f>D165&amp;F165&amp;E165</f>
        <v>CANOPY TYPE00</v>
      </c>
      <c r="H165" s="622">
        <f>IF(E167=0,0,IF(F167=0,0,(E167/(IF(C167="WALL",E167,(E167/2)))*H167)))</f>
        <v>0</v>
      </c>
      <c r="I165" s="622" t="str">
        <f>I167&amp;" m³/s"</f>
        <v xml:space="preserve"> m³/s</v>
      </c>
      <c r="J165" s="624"/>
      <c r="K165" s="625">
        <f>SUBTOTAL(9,K167:K180)</f>
        <v>0</v>
      </c>
      <c r="L165" s="606" t="str">
        <f>IF(K1657=0,"-",O165/M165)</f>
        <v>-</v>
      </c>
      <c r="M165" s="625">
        <f>SUBTOTAL(9,M167:M180)</f>
        <v>0</v>
      </c>
      <c r="N165" s="607">
        <f>SUBTOTAL(9,N167:N180)</f>
        <v>0</v>
      </c>
      <c r="O165" s="625">
        <f>SUBTOTAL(9,O167:O180)</f>
        <v>0</v>
      </c>
      <c r="P165" s="575"/>
      <c r="Q165" s="575"/>
      <c r="R165" s="575"/>
      <c r="S165" s="615"/>
      <c r="T165" s="575"/>
      <c r="X165" s="575"/>
      <c r="Y165" s="575"/>
      <c r="Z165" s="575"/>
    </row>
    <row r="166" spans="1:26" ht="15" hidden="1" customHeight="1" outlineLevel="1" x14ac:dyDescent="0.15">
      <c r="B166" s="626"/>
      <c r="C166" s="627" t="s">
        <v>54</v>
      </c>
      <c r="D166" s="628" t="s">
        <v>55</v>
      </c>
      <c r="E166" s="627" t="s">
        <v>56</v>
      </c>
      <c r="F166" s="627" t="s">
        <v>57</v>
      </c>
      <c r="G166" s="627" t="s">
        <v>58</v>
      </c>
      <c r="H166" s="627" t="s">
        <v>59</v>
      </c>
      <c r="I166" s="628" t="s">
        <v>60</v>
      </c>
      <c r="J166" s="629"/>
      <c r="K166" s="630"/>
      <c r="L166" s="630"/>
      <c r="M166" s="631"/>
      <c r="N166" s="632"/>
      <c r="O166" s="614"/>
      <c r="S166" s="596"/>
      <c r="Y166" s="575"/>
    </row>
    <row r="167" spans="1:26" ht="15" hidden="1" customHeight="1" outlineLevel="1" x14ac:dyDescent="0.2">
      <c r="A167" s="568">
        <v>210</v>
      </c>
      <c r="B167" s="633" t="s">
        <v>61</v>
      </c>
      <c r="C167" s="634" t="s">
        <v>62</v>
      </c>
      <c r="D167" s="635" t="s">
        <v>87</v>
      </c>
      <c r="E167" s="636"/>
      <c r="F167" s="636"/>
      <c r="G167" s="636"/>
      <c r="H167" s="637"/>
      <c r="I167" s="636"/>
      <c r="J167" s="638">
        <f>IF(ISNA(C165),0,IF(F165&gt;3000,0,(IF(H165&lt;1,0,((VLOOKUP(G165,CC!$D$2:$E$670,2,FALSE))*H165)+((VLOOKUP(G165,CC!$D$2:$AD$670,17,FALSE)*(H165/H167)))))))</f>
        <v>0</v>
      </c>
      <c r="K167" s="639">
        <f>J167*1</f>
        <v>0</v>
      </c>
      <c r="L167" s="640">
        <v>0.44</v>
      </c>
      <c r="M167" s="641">
        <f t="shared" ref="M167:M180" si="18">K167/(1-L167)*(1+$C$9)</f>
        <v>0</v>
      </c>
      <c r="N167" s="639">
        <f>M167*VLOOKUP($B$9,'Base Costs'!$A$32:$B$37,2,FALSE)</f>
        <v>0</v>
      </c>
      <c r="O167" s="642">
        <f t="shared" ref="O167:O180" si="19">M167-K167</f>
        <v>0</v>
      </c>
      <c r="S167" s="596"/>
      <c r="Y167" s="575"/>
    </row>
    <row r="168" spans="1:26" ht="15" hidden="1" customHeight="1" outlineLevel="1" x14ac:dyDescent="0.15">
      <c r="A168" s="568">
        <v>104</v>
      </c>
      <c r="B168" s="633" t="s">
        <v>64</v>
      </c>
      <c r="C168" s="635" t="s">
        <v>65</v>
      </c>
      <c r="D168" s="643"/>
      <c r="E168" s="644"/>
      <c r="F168" s="645"/>
      <c r="G168" s="646"/>
      <c r="H168" s="570"/>
      <c r="I168" s="570"/>
      <c r="J168" s="638">
        <f>IF(ISNA(C165),0,IF(D168=0,0,IF(C168="FLO",VLOOKUP(E168,'Base Costs'!$M$4:$N$14,2,FALSE),IF(C168="LED STRIP",VLOOKUP(E168,'Base Costs'!$M$4:$N$14,2,FALSE),(VLOOKUP(C168,'Base Costs'!$M$4:$N$14,2,FALSE))))))</f>
        <v>0</v>
      </c>
      <c r="K168" s="639">
        <f>J168*D168</f>
        <v>0</v>
      </c>
      <c r="L168" s="640">
        <v>0.31</v>
      </c>
      <c r="M168" s="641">
        <f t="shared" si="18"/>
        <v>0</v>
      </c>
      <c r="N168" s="639">
        <f>M168*VLOOKUP($B$9,'Base Costs'!$A$32:$B$37,2,FALSE)</f>
        <v>0</v>
      </c>
      <c r="O168" s="642">
        <f t="shared" si="19"/>
        <v>0</v>
      </c>
      <c r="P168" s="647"/>
      <c r="S168" s="596"/>
      <c r="Y168" s="575"/>
    </row>
    <row r="169" spans="1:26" ht="15" hidden="1" customHeight="1" outlineLevel="1" x14ac:dyDescent="0.15">
      <c r="A169" s="568">
        <v>234</v>
      </c>
      <c r="B169" s="204" t="s">
        <v>66</v>
      </c>
      <c r="C169" s="654" t="s">
        <v>67</v>
      </c>
      <c r="D169" s="637"/>
      <c r="E169" s="655" t="str">
        <f>IF(C169="","",VLOOKUP(C169,CCBASE!$A$53:$D$73,4,FALSE))</f>
        <v/>
      </c>
      <c r="F169" s="656"/>
      <c r="G169" s="651"/>
      <c r="H169" s="652"/>
      <c r="I169" s="657"/>
      <c r="J169" s="638">
        <f>IF(C169="",0,VLOOKUP(C169,CCBASE!$A$53:$C$73,2,FALSE))</f>
        <v>0</v>
      </c>
      <c r="K169" s="639">
        <f>J169*D169</f>
        <v>0</v>
      </c>
      <c r="L169" s="640">
        <v>0.44</v>
      </c>
      <c r="M169" s="641">
        <f t="shared" si="18"/>
        <v>0</v>
      </c>
      <c r="N169" s="639">
        <f>M169*VLOOKUP($B$9,'Base Costs'!$A$32:$B$37,2,FALSE)</f>
        <v>0</v>
      </c>
      <c r="O169" s="642">
        <f t="shared" si="19"/>
        <v>0</v>
      </c>
      <c r="S169" s="596"/>
      <c r="Y169" s="575"/>
    </row>
    <row r="170" spans="1:26" ht="15" hidden="1" customHeight="1" outlineLevel="1" x14ac:dyDescent="0.15">
      <c r="B170" s="487" t="s">
        <v>66</v>
      </c>
      <c r="C170" s="33" t="s">
        <v>67</v>
      </c>
      <c r="D170" s="637"/>
      <c r="E170" s="655" t="str">
        <f>IF(C170="","",VLOOKUP(C170,CCBASE!$A$53:$D$73,4,FALSE))</f>
        <v/>
      </c>
      <c r="F170" s="656"/>
      <c r="G170" s="651"/>
      <c r="H170" s="652"/>
      <c r="I170" s="657"/>
      <c r="J170" s="638">
        <f>IF(C170="",0,VLOOKUP(C170,CCBASE!$A$53:$C$73,2,FALSE))</f>
        <v>0</v>
      </c>
      <c r="K170" s="639">
        <f>J170*D170</f>
        <v>0</v>
      </c>
      <c r="L170" s="640">
        <v>0.44</v>
      </c>
      <c r="M170" s="641">
        <f t="shared" si="18"/>
        <v>0</v>
      </c>
      <c r="N170" s="639">
        <f>M170*VLOOKUP($B$9,'Base Costs'!$A$32:$B$37,2,FALSE)</f>
        <v>0</v>
      </c>
      <c r="O170" s="642">
        <f t="shared" si="19"/>
        <v>0</v>
      </c>
      <c r="S170" s="596"/>
      <c r="Y170" s="575"/>
    </row>
    <row r="171" spans="1:26" ht="15" hidden="1" customHeight="1" outlineLevel="1" x14ac:dyDescent="0.15">
      <c r="B171" s="869" t="s">
        <v>66</v>
      </c>
      <c r="C171" s="870" t="s">
        <v>69</v>
      </c>
      <c r="D171" s="858"/>
      <c r="E171" s="859" t="str">
        <f>IF(C171="","",VLOOKUP(C171,CCBASE!$A$53:$D$73,4,FALSE))</f>
        <v>SECTION(S) OF CANOPY</v>
      </c>
      <c r="F171" s="860"/>
      <c r="G171" s="855"/>
      <c r="H171" s="861"/>
      <c r="I171" s="862"/>
      <c r="J171" s="863">
        <f>IF(C171="",0,VLOOKUP(C171,CCBASE!$A$53:$C$73,2,FALSE))</f>
        <v>50</v>
      </c>
      <c r="K171" s="864">
        <f>J171*D171</f>
        <v>0</v>
      </c>
      <c r="L171" s="865">
        <v>0.44</v>
      </c>
      <c r="M171" s="866">
        <f t="shared" si="18"/>
        <v>0</v>
      </c>
      <c r="N171" s="864">
        <f>M171*VLOOKUP($B$9,'Base Costs'!$A$32:$B$37,2,FALSE)</f>
        <v>0</v>
      </c>
      <c r="O171" s="867">
        <f t="shared" si="19"/>
        <v>0</v>
      </c>
      <c r="P171" s="868" t="s">
        <v>70</v>
      </c>
      <c r="S171" s="596"/>
      <c r="Y171" s="575"/>
    </row>
    <row r="172" spans="1:26" ht="15" hidden="1" customHeight="1" outlineLevel="1" x14ac:dyDescent="0.15">
      <c r="A172" s="568">
        <v>289</v>
      </c>
      <c r="B172" s="487" t="s">
        <v>71</v>
      </c>
      <c r="C172" s="33" t="s">
        <v>72</v>
      </c>
      <c r="D172" s="658">
        <f>ROUNDUP($F167/1000,0)</f>
        <v>0</v>
      </c>
      <c r="E172" s="950" t="s">
        <v>73</v>
      </c>
      <c r="F172" s="941"/>
      <c r="G172" s="656"/>
      <c r="H172" s="652"/>
      <c r="I172" s="657"/>
      <c r="J172" s="638">
        <f>IF(D172=0,0,VLOOKUP(C172,'Base Costs'!$A$19:$B$22,2,FALSE))</f>
        <v>0</v>
      </c>
      <c r="K172" s="639">
        <f>J172*D172</f>
        <v>0</v>
      </c>
      <c r="L172" s="640">
        <v>0.44</v>
      </c>
      <c r="M172" s="641">
        <f t="shared" si="18"/>
        <v>0</v>
      </c>
      <c r="N172" s="639">
        <f>M172*VLOOKUP($B$9,'Base Costs'!$A$32:$B$37,2,FALSE)</f>
        <v>0</v>
      </c>
      <c r="O172" s="642">
        <f t="shared" si="19"/>
        <v>0</v>
      </c>
      <c r="S172" s="596"/>
      <c r="Y172" s="575"/>
    </row>
    <row r="173" spans="1:26" ht="15" hidden="1" customHeight="1" outlineLevel="1" x14ac:dyDescent="0.15">
      <c r="A173" s="568">
        <v>242</v>
      </c>
      <c r="B173" s="487" t="s">
        <v>77</v>
      </c>
      <c r="C173" s="654"/>
      <c r="D173" s="644" t="s">
        <v>78</v>
      </c>
      <c r="E173" s="651"/>
      <c r="F173" s="650"/>
      <c r="G173" s="651"/>
      <c r="H173" s="652"/>
      <c r="I173" s="657"/>
      <c r="J173" s="638">
        <f>IF(C173=0,0,'Base Costs'!$B$26)</f>
        <v>0</v>
      </c>
      <c r="K173" s="639">
        <f>J173*C173</f>
        <v>0</v>
      </c>
      <c r="L173" s="640">
        <v>0.44</v>
      </c>
      <c r="M173" s="641">
        <f t="shared" si="18"/>
        <v>0</v>
      </c>
      <c r="N173" s="639">
        <f>M173*VLOOKUP($B$9,'Base Costs'!$A$32:$B$37,2,FALSE)</f>
        <v>0</v>
      </c>
      <c r="O173" s="642">
        <f t="shared" si="19"/>
        <v>0</v>
      </c>
      <c r="P173"/>
      <c r="Q173"/>
      <c r="S173" s="596"/>
      <c r="Y173" s="575"/>
    </row>
    <row r="174" spans="1:26" ht="15" hidden="1" customHeight="1" outlineLevel="1" x14ac:dyDescent="0.15">
      <c r="A174" s="568">
        <v>220</v>
      </c>
      <c r="B174" s="633" t="s">
        <v>80</v>
      </c>
      <c r="C174" s="654"/>
      <c r="D174" s="644" t="s">
        <v>81</v>
      </c>
      <c r="E174" s="650"/>
      <c r="F174" s="650"/>
      <c r="G174" s="659" t="str">
        <f>IF(ISNUMBER(SEARCH("KSA",$D175)),"MAX. EXTRACT (m³/s)", "")</f>
        <v/>
      </c>
      <c r="H174" s="942" t="str">
        <f>IF(ISNUMBER(SEARCH("MUAP",$D167)),"MAX.  SUPPLY (m³/s)",IF(ISNUMBER(SEARCH("SPECIAL",$D167)),"MAX.  SUPPLY (m³/s)",(IF(ISNUMBER(SEARCH("F",$D167)),"MAX.  SUPPLY (m³/s)",""))))</f>
        <v/>
      </c>
      <c r="I174" s="943"/>
      <c r="J174" s="638">
        <f>IF(C174=0,0,'Base Costs'!$B$29)</f>
        <v>0</v>
      </c>
      <c r="K174" s="639">
        <f>J174*C174</f>
        <v>0</v>
      </c>
      <c r="L174" s="640">
        <v>0.44</v>
      </c>
      <c r="M174" s="641">
        <f t="shared" si="18"/>
        <v>0</v>
      </c>
      <c r="N174" s="639">
        <f>M174*VLOOKUP($B$9,'Base Costs'!$A$32:$B$37,2,FALSE)</f>
        <v>0</v>
      </c>
      <c r="O174" s="642">
        <f t="shared" si="19"/>
        <v>0</v>
      </c>
      <c r="S174" s="596"/>
      <c r="Y174" s="575"/>
    </row>
    <row r="175" spans="1:26" ht="15" hidden="1" customHeight="1" outlineLevel="1" x14ac:dyDescent="0.15">
      <c r="A175" s="568">
        <v>103</v>
      </c>
      <c r="B175" s="633" t="s">
        <v>82</v>
      </c>
      <c r="C175" s="643">
        <f>IF(ISNUMBER(SEARCH("CMW",D167)),1,IF(F165=0,0,(ROUNDDOWN(((((F167-(100+(50*H165))))/H167)/500),0)*H165)))</f>
        <v>0</v>
      </c>
      <c r="D175" s="644" t="str">
        <f>VLOOKUP(D167,'Base Costs'!$A$39:$B$58,2,FALSE)</f>
        <v>FILTER TYPE</v>
      </c>
      <c r="E175" s="660" t="str">
        <f>IF(C175=0,0,IF(D175="KSA",ROUND(I167/C175,3),""))&amp; "  m³/s per filter"</f>
        <v>0  m³/s per filter</v>
      </c>
      <c r="F175" s="660" t="str">
        <f>IF(C175=0," Pa",ROUND((((I167*3600)/(C175*I164))^2),1)+20&amp; " Pa")</f>
        <v xml:space="preserve"> Pa</v>
      </c>
      <c r="G175" s="661" t="str">
        <f>IF(ISNUMBER(SEARCH("KSA",$D175)),$C175*0.25, "")</f>
        <v/>
      </c>
      <c r="H175" s="949" t="str">
        <f>IF(ISNUMBER(SEARCH("MUAP",$D167)),0.225*($F167/1000),IF(ISNUMBER(SEARCH("SPECIAL",$D167)),0.225*($F167/1000),(IF(ISNUMBER(SEARCH("F",$D167)),0.225*($F167/1000),""))))</f>
        <v/>
      </c>
      <c r="I175" s="943"/>
      <c r="J175" s="638">
        <f>IF(ISNA(D175),0,(VLOOKUP(D175,'Base Costs'!$Q$4:$R$11,2,FALSE)))</f>
        <v>0</v>
      </c>
      <c r="K175" s="639">
        <f>IF(ISNA(D175),0,IF(D175="MX",J175*1,J175*C175))</f>
        <v>0</v>
      </c>
      <c r="L175" s="640">
        <v>0.44</v>
      </c>
      <c r="M175" s="641">
        <f t="shared" si="18"/>
        <v>0</v>
      </c>
      <c r="N175" s="639">
        <f>M175*VLOOKUP($B$9,'Base Costs'!$A$32:$B$37,2,FALSE)</f>
        <v>0</v>
      </c>
      <c r="O175" s="642">
        <f t="shared" si="19"/>
        <v>0</v>
      </c>
      <c r="S175" s="596"/>
      <c r="Y175" s="575"/>
    </row>
    <row r="176" spans="1:26" ht="15" hidden="1" customHeight="1" outlineLevel="1" x14ac:dyDescent="0.15">
      <c r="B176" s="204" t="s">
        <v>83</v>
      </c>
      <c r="C176" s="643">
        <v>0</v>
      </c>
      <c r="D176" s="735" t="str">
        <f>VLOOKUP(D167,'Base Costs'!$A$39:$C$58,3,FALSE)</f>
        <v>PSU</v>
      </c>
      <c r="E176" s="660" t="str">
        <f>IF(C176=0,0,IF(D176="PSU",ROUND(I167/C176,3),""))&amp; " m³/s per filter"</f>
        <v>0 m³/s per filter</v>
      </c>
      <c r="F176" s="660" t="str">
        <f>IF(C176=0," Pa",ROUND((((I167*3600)/(C176*I164))^2),1)+20&amp; " Pa")</f>
        <v xml:space="preserve"> Pa</v>
      </c>
      <c r="G176" s="661" t="str">
        <f>IF(ISNUMBER(SEARCH("KSA",$D176)),$C176*0.25, "")</f>
        <v/>
      </c>
      <c r="H176" s="949" t="str">
        <f>IF(ISNUMBER(SEARCH("MUAP",$D167)),0.225*($F167/1000),IF(ISNUMBER(SEARCH("SPECIAL",$D167)),0.225*($F167/1000),(IF(ISNUMBER(SEARCH("F",$D167)),0.225*($F167/1000),""))))</f>
        <v/>
      </c>
      <c r="I176" s="943"/>
      <c r="J176" s="638">
        <f>IF(ISNA(D176),0,(VLOOKUP(D176,'Base Costs'!$Q$4:$R$13,2,FALSE)))</f>
        <v>112.678</v>
      </c>
      <c r="K176" s="639">
        <f>IF(ISNA(D176),0,IF(D176="MX",J176*1,J176*C176))</f>
        <v>0</v>
      </c>
      <c r="L176" s="640">
        <v>0.44</v>
      </c>
      <c r="M176" s="641">
        <f t="shared" si="18"/>
        <v>0</v>
      </c>
      <c r="N176" s="639">
        <f>M176*VLOOKUP($B$9,'Base Costs'!$A$32:$B$37,2,FALSE)</f>
        <v>0</v>
      </c>
      <c r="O176" s="642">
        <f t="shared" si="19"/>
        <v>0</v>
      </c>
      <c r="S176" s="596"/>
      <c r="Y176" s="575"/>
    </row>
    <row r="177" spans="1:25" ht="15" hidden="1" customHeight="1" outlineLevel="1" x14ac:dyDescent="0.15">
      <c r="A177" s="568">
        <v>107</v>
      </c>
      <c r="B177" s="662" t="str">
        <f>IF(ISNUMBER(SEARCH("UV",D167)),"UV-C COMPONENTS",IF(ISNUMBER(SEARCH("CMW",D167)),"WATERWASH COMPONENTS",""))</f>
        <v/>
      </c>
      <c r="C177" s="663" t="str">
        <f>IF(H165=0,"UVR",IF(I167=0,"UVR",IF(I177&gt;0,("UVR")&amp;(INDEX('Base Costs'!$AH$5:$AI$10,(MATCH((I167/H165),'Base Costs'!$AI$5:$AI$10,-1)),1))&amp;("-")&amp;(H165),"UVR")))</f>
        <v>UVR</v>
      </c>
      <c r="D177" s="671" t="str">
        <f>VLOOKUP(C177,'Base Costs'!$Z$4:$AF$77,7,FALSE)&amp;" m³/s"</f>
        <v xml:space="preserve"> m³/s</v>
      </c>
      <c r="E177" s="665" t="str">
        <f>IF(ISNUMBER(SEARCH("L",C177)),"LONG RACK IN SECTION","SHORTRACK")</f>
        <v>SHORTRACK</v>
      </c>
      <c r="F177" s="666" t="str">
        <f>IF(ISNUMBER(SEARCH("L",C177)),ROUND(F167/H167,1)&amp;" mm","")</f>
        <v/>
      </c>
      <c r="G177" s="656"/>
      <c r="H177" s="656"/>
      <c r="I177" s="653">
        <f>IF(ISNUMBER(SEARCH("UV",D167)),1, 0)</f>
        <v>0</v>
      </c>
      <c r="J177" s="638">
        <f>IF(ISNA(C177),0,VLOOKUP(C177,'Base Costs'!$Z$4:$AF$77,2,FALSE))</f>
        <v>0</v>
      </c>
      <c r="K177" s="639">
        <f>J177*1</f>
        <v>0</v>
      </c>
      <c r="L177" s="640">
        <v>0.44</v>
      </c>
      <c r="M177" s="641">
        <f t="shared" si="18"/>
        <v>0</v>
      </c>
      <c r="N177" s="639">
        <f>M177*VLOOKUP($B$9,'Base Costs'!$A$32:$B$37,2,FALSE)</f>
        <v>0</v>
      </c>
      <c r="O177" s="642">
        <f t="shared" si="19"/>
        <v>0</v>
      </c>
      <c r="S177" s="596"/>
      <c r="Y177" s="575"/>
    </row>
    <row r="178" spans="1:25" ht="15" hidden="1" customHeight="1" outlineLevel="1" x14ac:dyDescent="0.15">
      <c r="B178" s="633" t="str">
        <f>IF(ISNUMBER(SEARCH("UV",D167)),"UV-C 2ND FILTER",IF(ISNUMBER(SEARCH("CMW",D167)),"CONTROL PANEL",""))</f>
        <v/>
      </c>
      <c r="C178" s="660" t="s">
        <v>84</v>
      </c>
      <c r="D178" s="662" t="str">
        <f>IF(ISNUMBER(SEARCH("CP1S",$C178)),"Up to 12m of canopy","")</f>
        <v/>
      </c>
      <c r="E178" s="662" t="str">
        <f>IF(ISNUMBER(SEARCH("CMW",$D167)),"CWS REQUIREMENT @ 2Bar","")</f>
        <v/>
      </c>
      <c r="F178" s="667" t="str">
        <f>IF(ISNUMBER(SEARCH("CMW",$D167)),$F167/1000*0.02&amp;" L/S","")</f>
        <v/>
      </c>
      <c r="G178" s="656"/>
      <c r="H178" s="652"/>
      <c r="I178" s="653">
        <f>C175</f>
        <v>0</v>
      </c>
      <c r="J178" s="638">
        <f>IF(ISNUMBER(SEARCH("CMW",D167)),VLOOKUP(C178,CCBASE!$A$81:$B$85,2,FALSE),(IF(I177&gt;0,'Base Costs'!$R$7,0)))</f>
        <v>0</v>
      </c>
      <c r="K178" s="639">
        <f>J178*C175</f>
        <v>0</v>
      </c>
      <c r="L178" s="640">
        <v>0.44</v>
      </c>
      <c r="M178" s="641">
        <f t="shared" si="18"/>
        <v>0</v>
      </c>
      <c r="N178" s="639">
        <f>M178*VLOOKUP($B$9,'Base Costs'!$A$32:$B$37,2,FALSE)</f>
        <v>0</v>
      </c>
      <c r="O178" s="642">
        <f t="shared" si="19"/>
        <v>0</v>
      </c>
      <c r="S178" s="596"/>
      <c r="Y178" s="575"/>
    </row>
    <row r="179" spans="1:25" ht="15" hidden="1" customHeight="1" outlineLevel="1" x14ac:dyDescent="0.15">
      <c r="A179" s="568">
        <v>285</v>
      </c>
      <c r="B179" s="633" t="str">
        <f>IF(ISNUMBER(SEARCH("UV",D167)),"UV-C WORKSHOP WIRING",IF(ISNUMBER(SEARCH("CMW",D167)),"W/W PODS",""))</f>
        <v/>
      </c>
      <c r="C179" s="660" t="s">
        <v>85</v>
      </c>
      <c r="D179" s="660">
        <v>0</v>
      </c>
      <c r="E179" s="662" t="str">
        <f>IF(ISNUMBER(SEARCH("CMW",$D167)),"HWS REQUIREMENT @ 60°C ","")</f>
        <v/>
      </c>
      <c r="F179" s="668" t="str">
        <f>IF(ISNUMBER(SEARCH("CMW",$D167)),$F167/1000*0.103&amp;" L/S","")</f>
        <v/>
      </c>
      <c r="G179" s="656"/>
      <c r="H179" s="652"/>
      <c r="I179" s="653">
        <f>IF(I177&gt;0,H165,0)</f>
        <v>0</v>
      </c>
      <c r="J179" s="638">
        <f>IF(ISNUMBER(SEARCH("CMW",D167)),VLOOKUP(C179,'Base Costs'!$Q$35:$R$45,2,FALSE),IF(I179=0,0,36*1.03))</f>
        <v>0</v>
      </c>
      <c r="K179" s="639">
        <f>IF(ISNUMBER(SEARCH("CMW",D167)),J179*D179,J179*H165)</f>
        <v>0</v>
      </c>
      <c r="L179" s="640">
        <v>0.44</v>
      </c>
      <c r="M179" s="641">
        <f t="shared" si="18"/>
        <v>0</v>
      </c>
      <c r="N179" s="639">
        <f>M179*VLOOKUP($B$9,'Base Costs'!$A$32:$B$37,2,FALSE)</f>
        <v>0</v>
      </c>
      <c r="O179" s="642">
        <f t="shared" si="19"/>
        <v>0</v>
      </c>
      <c r="S179" s="596"/>
      <c r="Y179" s="575"/>
    </row>
    <row r="180" spans="1:25" ht="15" hidden="1" customHeight="1" outlineLevel="1" x14ac:dyDescent="0.15">
      <c r="A180" s="568">
        <v>286</v>
      </c>
      <c r="B180" s="633" t="str">
        <f>IF(ISNUMBER(SEARCH("CMW",$D167)),"CWS/HWS PIPEWORK UP TO 5M",IF(ISNUMBER(SEARCH("UV",$D167)),"MU5 INTERFACE", ""))</f>
        <v/>
      </c>
      <c r="C180" s="660">
        <v>1</v>
      </c>
      <c r="D180" s="669"/>
      <c r="E180" s="662" t="str">
        <f>IF(ISNUMBER(SEARCH("CMW",$D167)),"HW STORAGE 3m wash","")</f>
        <v/>
      </c>
      <c r="F180" s="667" t="str">
        <f>IF(ISNUMBER(SEARCH("CMW",$D167)),($F167/1000)*0.103*180&amp;" L","")</f>
        <v/>
      </c>
      <c r="G180" s="651"/>
      <c r="H180" s="652"/>
      <c r="I180" s="653">
        <f>IF(I177=0,0,1)</f>
        <v>0</v>
      </c>
      <c r="J180" s="638">
        <f>IF(B180="CWS/HWS PIPEWORK UP TO 5M",CCBASE!$B$65,IF(I180=0,0,100*1.44))</f>
        <v>0</v>
      </c>
      <c r="K180" s="639">
        <f>J180*C180</f>
        <v>0</v>
      </c>
      <c r="L180" s="640">
        <v>0.44</v>
      </c>
      <c r="M180" s="641">
        <f t="shared" si="18"/>
        <v>0</v>
      </c>
      <c r="N180" s="639">
        <f>M180*VLOOKUP($B$9,'Base Costs'!$A$32:$B$37,2,FALSE)</f>
        <v>0</v>
      </c>
      <c r="O180" s="642">
        <f t="shared" si="19"/>
        <v>0</v>
      </c>
      <c r="S180" s="596"/>
      <c r="Y180" s="575"/>
    </row>
    <row r="181" spans="1:25" ht="15" customHeight="1" collapsed="1" x14ac:dyDescent="0.15">
      <c r="B181" s="672"/>
      <c r="C181" s="672"/>
      <c r="D181" s="672"/>
      <c r="E181" s="672"/>
      <c r="F181" s="672"/>
      <c r="G181" s="672"/>
      <c r="H181" s="617"/>
      <c r="I181" s="617"/>
      <c r="J181" s="619"/>
      <c r="K181" s="673"/>
      <c r="L181" s="674"/>
      <c r="M181" s="673"/>
      <c r="N181" s="673"/>
      <c r="S181" s="596"/>
      <c r="Y181" s="575"/>
    </row>
    <row r="182" spans="1:25" ht="15" customHeight="1" x14ac:dyDescent="0.15">
      <c r="B182" s="966" t="s">
        <v>88</v>
      </c>
      <c r="C182" s="941"/>
      <c r="D182" s="941"/>
      <c r="E182" s="941"/>
      <c r="F182" s="941"/>
      <c r="G182" s="941"/>
      <c r="H182" s="622"/>
      <c r="I182" s="622"/>
      <c r="J182" s="675"/>
      <c r="K182" s="625">
        <f>SUBTOTAL(9,K183:K197)</f>
        <v>2020.7</v>
      </c>
      <c r="L182" s="606">
        <f>IF(K182=0,"-",O182/M182)</f>
        <v>0.37408777796612791</v>
      </c>
      <c r="M182" s="625">
        <f>SUBTOTAL(9,M183:M197)</f>
        <v>3228.4079601990052</v>
      </c>
      <c r="N182" s="607">
        <f>SUBTOTAL(9,N183:N197)</f>
        <v>3228.4079601990052</v>
      </c>
      <c r="O182" s="605">
        <f>SUBTOTAL(9,O183:O197)</f>
        <v>1207.7079601990054</v>
      </c>
      <c r="P182" s="932">
        <f>N182-P183</f>
        <v>2619.3034825870645</v>
      </c>
      <c r="S182" s="596"/>
    </row>
    <row r="183" spans="1:25" ht="15" customHeight="1" x14ac:dyDescent="0.15">
      <c r="A183" s="568">
        <v>222</v>
      </c>
      <c r="B183" s="492" t="s">
        <v>89</v>
      </c>
      <c r="C183" s="676">
        <v>1</v>
      </c>
      <c r="D183" s="677" t="s">
        <v>90</v>
      </c>
      <c r="E183" s="962" t="s">
        <v>91</v>
      </c>
      <c r="F183" s="941"/>
      <c r="G183" s="957"/>
      <c r="H183" s="943"/>
      <c r="I183" s="943"/>
      <c r="J183" s="678">
        <f>VLOOKUP(D183,'Base Costs'!E4:G213,2,FALSE)</f>
        <v>408.1</v>
      </c>
      <c r="K183" s="639">
        <f t="shared" ref="K183:K197" si="20">C183*J183</f>
        <v>408.1</v>
      </c>
      <c r="L183" s="640">
        <v>0.33</v>
      </c>
      <c r="M183" s="641">
        <f t="shared" ref="M183:M197" si="21">K183/(1-L183)*(1+$C$9)</f>
        <v>609.10447761194041</v>
      </c>
      <c r="N183" s="639">
        <f>M183*VLOOKUP($B$9,'Base Costs'!$A$32:$B$37,2,FALSE)</f>
        <v>609.10447761194041</v>
      </c>
      <c r="O183" s="642">
        <f t="shared" ref="O183:O197" si="22">M183-K183</f>
        <v>201.00447761194039</v>
      </c>
      <c r="P183" s="647">
        <f>N183</f>
        <v>609.10447761194041</v>
      </c>
      <c r="Q183" s="647"/>
      <c r="S183" s="596"/>
    </row>
    <row r="184" spans="1:25" ht="15" customHeight="1" x14ac:dyDescent="0.15">
      <c r="A184" s="568">
        <v>257</v>
      </c>
      <c r="B184" s="204" t="s">
        <v>92</v>
      </c>
      <c r="C184" s="679">
        <v>1</v>
      </c>
      <c r="D184" s="677" t="s">
        <v>782</v>
      </c>
      <c r="E184" s="958" t="s">
        <v>94</v>
      </c>
      <c r="F184" s="941"/>
      <c r="G184" s="650"/>
      <c r="H184" s="650"/>
      <c r="I184" s="650"/>
      <c r="J184" s="678">
        <f>VLOOKUP(D184,'Base Costs'!$A$3:$B$15,2,FALSE)</f>
        <v>95.4</v>
      </c>
      <c r="K184" s="639">
        <f t="shared" si="20"/>
        <v>95.4</v>
      </c>
      <c r="L184" s="640">
        <v>0.33</v>
      </c>
      <c r="M184" s="641">
        <f t="shared" si="21"/>
        <v>142.38805970149255</v>
      </c>
      <c r="N184" s="639">
        <f>M184*VLOOKUP($B$9,'Base Costs'!$A$32:$B$37,2,FALSE)</f>
        <v>142.38805970149255</v>
      </c>
      <c r="O184" s="642">
        <f t="shared" si="22"/>
        <v>46.988059701492546</v>
      </c>
      <c r="S184" s="596"/>
    </row>
    <row r="185" spans="1:25" ht="15" customHeight="1" x14ac:dyDescent="0.15">
      <c r="A185" s="568">
        <v>257</v>
      </c>
      <c r="B185" s="204" t="s">
        <v>92</v>
      </c>
      <c r="C185" s="679">
        <v>1</v>
      </c>
      <c r="D185" s="677" t="s">
        <v>335</v>
      </c>
      <c r="E185" s="958" t="s">
        <v>94</v>
      </c>
      <c r="F185" s="941"/>
      <c r="G185" s="650"/>
      <c r="H185" s="650"/>
      <c r="I185" s="650"/>
      <c r="J185" s="678">
        <f>VLOOKUP(D185,'Base Costs'!$A$3:$B$15,2,FALSE)</f>
        <v>127.2</v>
      </c>
      <c r="K185" s="639">
        <f t="shared" si="20"/>
        <v>127.2</v>
      </c>
      <c r="L185" s="640">
        <v>0.33</v>
      </c>
      <c r="M185" s="641">
        <f t="shared" si="21"/>
        <v>189.85074626865674</v>
      </c>
      <c r="N185" s="639">
        <f>M185*VLOOKUP($B$9,'Base Costs'!$A$32:$B$37,2,FALSE)</f>
        <v>189.85074626865674</v>
      </c>
      <c r="O185" s="642">
        <f t="shared" si="22"/>
        <v>62.650746268656732</v>
      </c>
      <c r="S185" s="596"/>
    </row>
    <row r="186" spans="1:25" ht="15" customHeight="1" x14ac:dyDescent="0.15">
      <c r="A186" s="568">
        <v>222</v>
      </c>
      <c r="B186" s="205"/>
      <c r="C186" s="827"/>
      <c r="D186" s="677" t="s">
        <v>95</v>
      </c>
      <c r="E186" s="956"/>
      <c r="F186" s="941"/>
      <c r="G186" s="957"/>
      <c r="H186" s="943"/>
      <c r="I186" s="943"/>
      <c r="J186" s="678">
        <f>VLOOKUP(D186,'Base Costs'!E4:G213,2,FALSE)</f>
        <v>0</v>
      </c>
      <c r="K186" s="639">
        <f t="shared" si="20"/>
        <v>0</v>
      </c>
      <c r="L186" s="640">
        <v>0.33</v>
      </c>
      <c r="M186" s="641">
        <f t="shared" si="21"/>
        <v>0</v>
      </c>
      <c r="N186" s="639">
        <f>M186*VLOOKUP($B$9,'Base Costs'!$A$32:$B$37,2,FALSE)</f>
        <v>0</v>
      </c>
      <c r="O186" s="642">
        <f t="shared" si="22"/>
        <v>0</v>
      </c>
      <c r="S186" s="596"/>
    </row>
    <row r="187" spans="1:25" ht="15" customHeight="1" x14ac:dyDescent="0.15">
      <c r="A187" s="568">
        <v>400</v>
      </c>
      <c r="B187" s="633" t="s">
        <v>96</v>
      </c>
      <c r="C187" s="679"/>
      <c r="D187" s="651" t="s">
        <v>97</v>
      </c>
      <c r="E187" s="650"/>
      <c r="F187" s="650"/>
      <c r="G187" s="650"/>
      <c r="H187" s="650"/>
      <c r="I187" s="650"/>
      <c r="J187" s="678">
        <v>610</v>
      </c>
      <c r="K187" s="639">
        <f t="shared" si="20"/>
        <v>0</v>
      </c>
      <c r="L187" s="640">
        <v>0.33</v>
      </c>
      <c r="M187" s="641">
        <f t="shared" si="21"/>
        <v>0</v>
      </c>
      <c r="N187" s="639">
        <f>M187*VLOOKUP($B$9,'Base Costs'!$A$32:$B$37,2,FALSE)</f>
        <v>0</v>
      </c>
      <c r="O187" s="642">
        <f t="shared" si="22"/>
        <v>0</v>
      </c>
      <c r="S187" s="596"/>
    </row>
    <row r="188" spans="1:25" ht="15" customHeight="1" x14ac:dyDescent="0.15">
      <c r="A188" s="568">
        <v>102</v>
      </c>
      <c r="B188" s="204" t="s">
        <v>98</v>
      </c>
      <c r="C188" s="177">
        <f>ROUNDUP((IF(C14="WALL",(F14/1000),(F14/1000)*2)+IF(C31="WALL",(F31/1000),(F31/1000)*2)+IF(C48="WALL",(F48/1000),(F48/1000)*2)+IF(C65="WALL",(F65/1000),(F65/1000)*2)+IF(C82="WALL",(F82/1000),(F82/1000)*2)+IF(C99="WALL",(F99/1000),(F99/1000)*2)+IF(C116="WALL",(F116/1000),(F116/1000)*2)+IF(C133="WALL",(F133/1000),(F133/1000)*2)+IF(C150="WALL",(F150/1000),(F150/1000)*2)+IF(C167="WALL",(F167/1000),(F167/1000)*2)),0)</f>
        <v>5</v>
      </c>
      <c r="D188" s="651" t="s">
        <v>99</v>
      </c>
      <c r="E188" s="650"/>
      <c r="F188" s="650"/>
      <c r="G188" s="650"/>
      <c r="H188" s="650"/>
      <c r="I188" s="650"/>
      <c r="J188" s="678">
        <v>34</v>
      </c>
      <c r="K188" s="639">
        <f t="shared" si="20"/>
        <v>170</v>
      </c>
      <c r="L188" s="640">
        <v>0.33</v>
      </c>
      <c r="M188" s="641">
        <f t="shared" si="21"/>
        <v>253.73134328358211</v>
      </c>
      <c r="N188" s="639">
        <f>M188*VLOOKUP($B$9,'Base Costs'!$A$32:$B$37,2,FALSE)</f>
        <v>253.73134328358211</v>
      </c>
      <c r="O188" s="642">
        <f t="shared" si="22"/>
        <v>83.731343283582106</v>
      </c>
      <c r="S188" s="596"/>
    </row>
    <row r="189" spans="1:25" ht="15" customHeight="1" x14ac:dyDescent="0.15">
      <c r="A189" s="568">
        <v>400</v>
      </c>
      <c r="B189" s="633" t="s">
        <v>100</v>
      </c>
      <c r="C189" s="679">
        <v>2</v>
      </c>
      <c r="D189" s="952" t="s">
        <v>101</v>
      </c>
      <c r="E189" s="941"/>
      <c r="F189" s="941"/>
      <c r="G189" s="941"/>
      <c r="H189" s="943"/>
      <c r="I189" s="943"/>
      <c r="J189" s="678">
        <v>610</v>
      </c>
      <c r="K189" s="639">
        <f t="shared" si="20"/>
        <v>1220</v>
      </c>
      <c r="L189" s="640">
        <v>0.4</v>
      </c>
      <c r="M189" s="641">
        <f t="shared" si="21"/>
        <v>2033.3333333333335</v>
      </c>
      <c r="N189" s="639">
        <f>M189*VLOOKUP($B$9,'Base Costs'!$A$32:$B$37,2,FALSE)</f>
        <v>2033.3333333333335</v>
      </c>
      <c r="O189" s="642">
        <f t="shared" si="22"/>
        <v>813.33333333333348</v>
      </c>
      <c r="S189" s="596"/>
    </row>
    <row r="190" spans="1:25" ht="15" customHeight="1" x14ac:dyDescent="0.15">
      <c r="A190" s="568">
        <v>400</v>
      </c>
      <c r="B190" s="633" t="s">
        <v>102</v>
      </c>
      <c r="C190" s="679"/>
      <c r="D190" s="952" t="s">
        <v>101</v>
      </c>
      <c r="E190" s="941"/>
      <c r="F190" s="941"/>
      <c r="G190" s="941"/>
      <c r="H190" s="943"/>
      <c r="I190" s="943"/>
      <c r="J190" s="678">
        <v>1220</v>
      </c>
      <c r="K190" s="639">
        <f t="shared" si="20"/>
        <v>0</v>
      </c>
      <c r="L190" s="640">
        <v>0.4</v>
      </c>
      <c r="M190" s="641">
        <f t="shared" si="21"/>
        <v>0</v>
      </c>
      <c r="N190" s="639">
        <f>M190*VLOOKUP($B$9,'Base Costs'!$A$32:$B$37,2,FALSE)</f>
        <v>0</v>
      </c>
      <c r="O190" s="642">
        <f t="shared" si="22"/>
        <v>0</v>
      </c>
      <c r="S190" s="596"/>
    </row>
    <row r="191" spans="1:25" ht="15" customHeight="1" x14ac:dyDescent="0.15">
      <c r="A191" s="568">
        <v>253</v>
      </c>
      <c r="B191" s="693" t="s">
        <v>103</v>
      </c>
      <c r="C191" s="679"/>
      <c r="D191" s="30" t="s">
        <v>104</v>
      </c>
      <c r="E191" s="650"/>
      <c r="F191" s="650"/>
      <c r="G191" s="650"/>
      <c r="H191" s="650"/>
      <c r="I191" s="650"/>
      <c r="J191" s="678">
        <v>610</v>
      </c>
      <c r="K191" s="639">
        <f t="shared" si="20"/>
        <v>0</v>
      </c>
      <c r="L191" s="640">
        <v>0.33</v>
      </c>
      <c r="M191" s="641">
        <f t="shared" si="21"/>
        <v>0</v>
      </c>
      <c r="N191" s="639">
        <f>M191*VLOOKUP($B$9,'Base Costs'!$A$32:$B$37,2,FALSE)</f>
        <v>0</v>
      </c>
      <c r="O191" s="642">
        <f t="shared" si="22"/>
        <v>0</v>
      </c>
      <c r="S191" s="596"/>
    </row>
    <row r="192" spans="1:25" ht="15" customHeight="1" x14ac:dyDescent="0.15">
      <c r="A192" s="568">
        <v>253</v>
      </c>
      <c r="B192" s="204" t="s">
        <v>105</v>
      </c>
      <c r="C192" s="679"/>
      <c r="D192" s="651" t="s">
        <v>106</v>
      </c>
      <c r="E192" s="650"/>
      <c r="F192" s="650"/>
      <c r="G192" s="650"/>
      <c r="H192" s="650"/>
      <c r="I192" s="650"/>
      <c r="J192" s="678">
        <v>220</v>
      </c>
      <c r="K192" s="639">
        <f t="shared" si="20"/>
        <v>0</v>
      </c>
      <c r="L192" s="640">
        <v>0.33</v>
      </c>
      <c r="M192" s="641">
        <f t="shared" si="21"/>
        <v>0</v>
      </c>
      <c r="N192" s="639">
        <f>M192*VLOOKUP($B$9,'Base Costs'!$A$32:$B$37,2,FALSE)</f>
        <v>0</v>
      </c>
      <c r="O192" s="642">
        <f t="shared" si="22"/>
        <v>0</v>
      </c>
      <c r="S192" s="596"/>
    </row>
    <row r="193" spans="1:19" ht="15" customHeight="1" x14ac:dyDescent="0.15">
      <c r="A193" s="568">
        <v>280</v>
      </c>
      <c r="B193" s="633" t="s">
        <v>107</v>
      </c>
      <c r="C193" s="676"/>
      <c r="D193" s="961" t="s">
        <v>108</v>
      </c>
      <c r="E193" s="941"/>
      <c r="F193" s="941"/>
      <c r="G193" s="650"/>
      <c r="H193" s="650"/>
      <c r="I193" s="650"/>
      <c r="J193" s="678">
        <v>604</v>
      </c>
      <c r="K193" s="639">
        <f t="shared" si="20"/>
        <v>0</v>
      </c>
      <c r="L193" s="640">
        <v>0.33</v>
      </c>
      <c r="M193" s="641">
        <f t="shared" si="21"/>
        <v>0</v>
      </c>
      <c r="N193" s="639">
        <f>M193*VLOOKUP($B$9,'Base Costs'!$A$32:$B$37,2,FALSE)</f>
        <v>0</v>
      </c>
      <c r="O193" s="642">
        <f t="shared" si="22"/>
        <v>0</v>
      </c>
      <c r="S193" s="596"/>
    </row>
    <row r="194" spans="1:19" ht="15" customHeight="1" x14ac:dyDescent="0.15">
      <c r="B194" s="693" t="s">
        <v>109</v>
      </c>
      <c r="C194" s="679"/>
      <c r="D194" s="959" t="s">
        <v>110</v>
      </c>
      <c r="E194" s="941"/>
      <c r="F194" s="941"/>
      <c r="G194" s="650"/>
      <c r="H194" s="650"/>
      <c r="I194" s="650"/>
      <c r="J194" s="678">
        <v>1029</v>
      </c>
      <c r="K194" s="639">
        <f t="shared" si="20"/>
        <v>0</v>
      </c>
      <c r="L194" s="640">
        <v>0.33</v>
      </c>
      <c r="M194" s="641">
        <f t="shared" si="21"/>
        <v>0</v>
      </c>
      <c r="N194" s="639">
        <f>M194*VLOOKUP($B$9,'Base Costs'!$A$32:$B$37,2,FALSE)</f>
        <v>0</v>
      </c>
      <c r="O194" s="642">
        <f t="shared" si="22"/>
        <v>0</v>
      </c>
      <c r="S194" s="596"/>
    </row>
    <row r="195" spans="1:19" ht="15" customHeight="1" x14ac:dyDescent="0.15">
      <c r="B195" s="817" t="s">
        <v>111</v>
      </c>
      <c r="C195" s="679"/>
      <c r="D195" s="967" t="s">
        <v>112</v>
      </c>
      <c r="E195" s="941"/>
      <c r="F195" s="692"/>
      <c r="G195" s="650"/>
      <c r="H195" s="650"/>
      <c r="I195" s="650"/>
      <c r="J195" s="678">
        <v>210.72</v>
      </c>
      <c r="K195" s="639">
        <f t="shared" si="20"/>
        <v>0</v>
      </c>
      <c r="L195" s="640">
        <v>0.33</v>
      </c>
      <c r="M195" s="641">
        <f t="shared" si="21"/>
        <v>0</v>
      </c>
      <c r="N195" s="639">
        <f>M195*VLOOKUP($B$9,'Base Costs'!$A$32:$B$37,2,FALSE)</f>
        <v>0</v>
      </c>
      <c r="O195" s="642">
        <f t="shared" si="22"/>
        <v>0</v>
      </c>
      <c r="S195" s="596"/>
    </row>
    <row r="196" spans="1:19" ht="15" customHeight="1" x14ac:dyDescent="0.15">
      <c r="B196" s="693" t="s">
        <v>113</v>
      </c>
      <c r="C196" s="679"/>
      <c r="D196" s="951" t="s">
        <v>114</v>
      </c>
      <c r="E196" s="941"/>
      <c r="F196" s="692"/>
      <c r="G196" s="650"/>
      <c r="H196" s="650"/>
      <c r="I196" s="650"/>
      <c r="J196" s="678">
        <v>234.9</v>
      </c>
      <c r="K196" s="639">
        <f t="shared" si="20"/>
        <v>0</v>
      </c>
      <c r="L196" s="640">
        <v>0.33</v>
      </c>
      <c r="M196" s="641">
        <f t="shared" si="21"/>
        <v>0</v>
      </c>
      <c r="N196" s="639">
        <f>M196*VLOOKUP($B$9,'Base Costs'!$A$32:$B$37,2,FALSE)</f>
        <v>0</v>
      </c>
      <c r="O196" s="642">
        <f t="shared" si="22"/>
        <v>0</v>
      </c>
      <c r="S196" s="596"/>
    </row>
    <row r="197" spans="1:19" ht="15" customHeight="1" x14ac:dyDescent="0.15">
      <c r="A197" s="568">
        <v>284</v>
      </c>
      <c r="B197" s="633" t="s">
        <v>115</v>
      </c>
      <c r="C197" s="679"/>
      <c r="D197" s="956" t="s">
        <v>116</v>
      </c>
      <c r="E197" s="941"/>
      <c r="F197" s="941"/>
      <c r="G197" s="650"/>
      <c r="H197" s="650"/>
      <c r="I197" s="650"/>
      <c r="J197" s="678">
        <v>215</v>
      </c>
      <c r="K197" s="639">
        <f t="shared" si="20"/>
        <v>0</v>
      </c>
      <c r="L197" s="640">
        <v>0.33</v>
      </c>
      <c r="M197" s="641">
        <f t="shared" si="21"/>
        <v>0</v>
      </c>
      <c r="N197" s="639">
        <f>M197*VLOOKUP($B$9,'Base Costs'!$A$32:$B$37,2,FALSE)</f>
        <v>0</v>
      </c>
      <c r="O197" s="642">
        <f t="shared" si="22"/>
        <v>0</v>
      </c>
      <c r="S197" s="596"/>
    </row>
    <row r="198" spans="1:19" ht="15" customHeight="1" x14ac:dyDescent="0.15">
      <c r="B198" s="672"/>
      <c r="C198" s="672"/>
      <c r="D198" s="672"/>
      <c r="E198" s="672"/>
      <c r="F198" s="672"/>
      <c r="G198" s="680"/>
      <c r="H198" s="681"/>
      <c r="I198" s="681"/>
      <c r="J198" s="682"/>
      <c r="K198" s="673"/>
      <c r="L198" s="683"/>
      <c r="M198" s="673"/>
      <c r="N198" s="673"/>
      <c r="S198" s="596"/>
    </row>
    <row r="199" spans="1:19" ht="15" customHeight="1" x14ac:dyDescent="0.2">
      <c r="B199" s="684" t="s">
        <v>46</v>
      </c>
      <c r="C199" s="685"/>
      <c r="D199" s="686"/>
      <c r="E199" s="686"/>
      <c r="F199" s="685"/>
      <c r="G199" s="687"/>
      <c r="H199" s="685"/>
      <c r="I199" s="685"/>
      <c r="J199" s="685"/>
      <c r="K199" s="685"/>
      <c r="L199" s="685"/>
      <c r="M199" s="685"/>
      <c r="N199" s="685"/>
      <c r="O199" s="685"/>
      <c r="S199" s="596"/>
    </row>
    <row r="200" spans="1:19" ht="15" customHeight="1" x14ac:dyDescent="0.2">
      <c r="B200" s="960" t="s">
        <v>117</v>
      </c>
      <c r="C200" s="941"/>
      <c r="D200" s="941"/>
      <c r="E200" s="941"/>
      <c r="F200" s="941"/>
      <c r="G200" s="941"/>
      <c r="H200" s="943"/>
      <c r="I200" s="943"/>
      <c r="J200" s="945"/>
      <c r="K200" s="946"/>
      <c r="L200" s="946"/>
      <c r="M200" s="947"/>
      <c r="N200" s="945"/>
      <c r="O200" s="948"/>
      <c r="S200" s="596"/>
    </row>
    <row r="201" spans="1:19" ht="15" customHeight="1" x14ac:dyDescent="0.2">
      <c r="B201" s="963" t="s">
        <v>118</v>
      </c>
      <c r="C201" s="941"/>
      <c r="D201" s="941"/>
      <c r="E201" s="941"/>
      <c r="F201" s="941"/>
      <c r="G201" s="941"/>
      <c r="H201" s="943"/>
      <c r="I201" s="943"/>
      <c r="J201" s="945"/>
      <c r="K201" s="946"/>
      <c r="L201" s="946"/>
      <c r="M201" s="947"/>
      <c r="N201" s="945"/>
      <c r="O201" s="948"/>
      <c r="S201" s="596"/>
    </row>
    <row r="202" spans="1:19" ht="15" customHeight="1" x14ac:dyDescent="0.2">
      <c r="B202" s="944"/>
      <c r="C202" s="941"/>
      <c r="D202" s="941"/>
      <c r="E202" s="941"/>
      <c r="F202" s="941"/>
      <c r="G202" s="941"/>
      <c r="H202" s="943"/>
      <c r="I202" s="943"/>
      <c r="J202" s="945"/>
      <c r="K202" s="946"/>
      <c r="L202" s="946"/>
      <c r="M202" s="947"/>
      <c r="N202" s="945"/>
      <c r="O202" s="948"/>
      <c r="S202" s="596"/>
    </row>
    <row r="203" spans="1:19" ht="15" customHeight="1" x14ac:dyDescent="0.2">
      <c r="B203" s="944"/>
      <c r="C203" s="941"/>
      <c r="D203" s="941"/>
      <c r="E203" s="941"/>
      <c r="F203" s="941"/>
      <c r="G203" s="941"/>
      <c r="H203" s="943"/>
      <c r="I203" s="943"/>
      <c r="J203" s="945"/>
      <c r="K203" s="946"/>
      <c r="L203" s="946"/>
      <c r="M203" s="947"/>
      <c r="N203" s="945"/>
      <c r="O203" s="948"/>
      <c r="S203" s="596"/>
    </row>
    <row r="204" spans="1:19" ht="15" customHeight="1" x14ac:dyDescent="0.2">
      <c r="B204" s="944"/>
      <c r="C204" s="941"/>
      <c r="D204" s="941"/>
      <c r="E204" s="941"/>
      <c r="F204" s="941"/>
      <c r="G204" s="941"/>
      <c r="H204" s="943"/>
      <c r="I204" s="943"/>
      <c r="J204" s="945"/>
      <c r="K204" s="946"/>
      <c r="L204" s="946"/>
      <c r="M204" s="947"/>
      <c r="N204" s="945"/>
      <c r="O204" s="948"/>
      <c r="S204" s="596"/>
    </row>
    <row r="205" spans="1:19" ht="15" customHeight="1" x14ac:dyDescent="0.2">
      <c r="B205" s="944"/>
      <c r="C205" s="941"/>
      <c r="D205" s="941"/>
      <c r="E205" s="941"/>
      <c r="F205" s="941"/>
      <c r="G205" s="941"/>
      <c r="H205" s="943"/>
      <c r="I205" s="943"/>
      <c r="J205" s="945"/>
      <c r="K205" s="946"/>
      <c r="L205" s="946"/>
      <c r="M205" s="947"/>
      <c r="N205" s="945"/>
      <c r="O205" s="948"/>
      <c r="S205" s="596"/>
    </row>
    <row r="206" spans="1:19" ht="15" customHeight="1" x14ac:dyDescent="0.15">
      <c r="J206" s="593"/>
      <c r="M206" s="593"/>
      <c r="O206" s="593"/>
      <c r="S206" s="596"/>
    </row>
    <row r="207" spans="1:19" x14ac:dyDescent="0.15">
      <c r="J207" s="593"/>
      <c r="M207" s="593"/>
      <c r="O207" s="593"/>
      <c r="S207" s="596"/>
    </row>
    <row r="208" spans="1:19" x14ac:dyDescent="0.15">
      <c r="G208" s="578"/>
      <c r="S208" s="596"/>
    </row>
    <row r="209" spans="2:19" x14ac:dyDescent="0.15">
      <c r="G209" s="578"/>
      <c r="S209" s="596"/>
    </row>
    <row r="210" spans="2:19" ht="15" customHeight="1" x14ac:dyDescent="0.15">
      <c r="G210" s="578"/>
      <c r="S210" s="596"/>
    </row>
    <row r="211" spans="2:19" ht="15" customHeight="1" x14ac:dyDescent="0.15">
      <c r="G211" s="578"/>
      <c r="S211" s="596"/>
    </row>
    <row r="212" spans="2:19" ht="15" customHeight="1" x14ac:dyDescent="0.15">
      <c r="G212" s="578"/>
      <c r="S212" s="596"/>
    </row>
    <row r="213" spans="2:19" ht="15" customHeight="1" x14ac:dyDescent="0.15">
      <c r="G213" s="578"/>
      <c r="S213" s="596"/>
    </row>
    <row r="214" spans="2:19" ht="15" customHeight="1" x14ac:dyDescent="0.15">
      <c r="G214" s="578"/>
      <c r="S214" s="596"/>
    </row>
    <row r="215" spans="2:19" ht="15" customHeight="1" x14ac:dyDescent="0.15">
      <c r="G215" s="578"/>
      <c r="S215" s="596"/>
    </row>
    <row r="216" spans="2:19" ht="15" customHeight="1" x14ac:dyDescent="0.15">
      <c r="G216" s="578"/>
      <c r="S216" s="596"/>
    </row>
    <row r="217" spans="2:19" ht="15" customHeight="1" x14ac:dyDescent="0.15">
      <c r="B217" s="688"/>
      <c r="C217" s="688"/>
      <c r="D217" s="688"/>
      <c r="E217" s="688"/>
      <c r="F217" s="688"/>
      <c r="G217" s="688"/>
      <c r="S217" s="596"/>
    </row>
    <row r="218" spans="2:19" ht="15" customHeight="1" x14ac:dyDescent="0.15">
      <c r="S218" s="596"/>
    </row>
    <row r="219" spans="2:19" ht="15" customHeight="1" x14ac:dyDescent="0.15">
      <c r="S219" s="596"/>
    </row>
    <row r="220" spans="2:19" ht="15" customHeight="1" x14ac:dyDescent="0.15">
      <c r="S220" s="596"/>
    </row>
    <row r="221" spans="2:19" ht="15" customHeight="1" x14ac:dyDescent="0.15">
      <c r="S221" s="596"/>
    </row>
    <row r="222" spans="2:19" ht="15" customHeight="1" x14ac:dyDescent="0.15">
      <c r="S222" s="596"/>
    </row>
    <row r="223" spans="2:19" ht="15" customHeight="1" x14ac:dyDescent="0.15">
      <c r="S223" s="596"/>
    </row>
    <row r="224" spans="2:19" ht="15" customHeight="1" x14ac:dyDescent="0.15">
      <c r="S224" s="596"/>
    </row>
    <row r="225" spans="19:19" ht="15" customHeight="1" x14ac:dyDescent="0.15">
      <c r="S225" s="596"/>
    </row>
    <row r="226" spans="19:19" ht="15" customHeight="1" x14ac:dyDescent="0.15">
      <c r="S226" s="596"/>
    </row>
    <row r="227" spans="19:19" ht="15" customHeight="1" x14ac:dyDescent="0.15">
      <c r="S227" s="596"/>
    </row>
    <row r="228" spans="19:19" ht="15" customHeight="1" x14ac:dyDescent="0.15">
      <c r="S228" s="596"/>
    </row>
    <row r="229" spans="19:19" ht="15" customHeight="1" x14ac:dyDescent="0.15">
      <c r="S229" s="596"/>
    </row>
    <row r="230" spans="19:19" ht="15" customHeight="1" x14ac:dyDescent="0.15">
      <c r="S230" s="596"/>
    </row>
    <row r="231" spans="19:19" ht="15" customHeight="1" x14ac:dyDescent="0.15">
      <c r="S231" s="596"/>
    </row>
    <row r="232" spans="19:19" ht="15" customHeight="1" x14ac:dyDescent="0.15">
      <c r="S232" s="596"/>
    </row>
    <row r="233" spans="19:19" ht="15" customHeight="1" x14ac:dyDescent="0.15">
      <c r="S233" s="596"/>
    </row>
    <row r="234" spans="19:19" ht="15" customHeight="1" x14ac:dyDescent="0.15">
      <c r="S234" s="596"/>
    </row>
    <row r="235" spans="19:19" ht="15" customHeight="1" x14ac:dyDescent="0.15">
      <c r="S235" s="596"/>
    </row>
    <row r="236" spans="19:19" ht="15" customHeight="1" x14ac:dyDescent="0.15">
      <c r="S236" s="596"/>
    </row>
    <row r="237" spans="19:19" ht="15" customHeight="1" x14ac:dyDescent="0.15">
      <c r="S237" s="596"/>
    </row>
    <row r="238" spans="19:19" ht="15" customHeight="1" x14ac:dyDescent="0.15">
      <c r="S238" s="596"/>
    </row>
    <row r="239" spans="19:19" ht="15" customHeight="1" x14ac:dyDescent="0.15">
      <c r="S239" s="596"/>
    </row>
    <row r="240" spans="19:19" ht="15" customHeight="1" x14ac:dyDescent="0.15">
      <c r="S240" s="596"/>
    </row>
    <row r="241" spans="19:19" ht="15" customHeight="1" x14ac:dyDescent="0.15">
      <c r="S241" s="596"/>
    </row>
    <row r="242" spans="19:19" ht="15" customHeight="1" x14ac:dyDescent="0.15">
      <c r="S242" s="596"/>
    </row>
    <row r="243" spans="19:19" ht="15" customHeight="1" x14ac:dyDescent="0.15">
      <c r="S243" s="596"/>
    </row>
    <row r="244" spans="19:19" ht="15" customHeight="1" x14ac:dyDescent="0.15">
      <c r="S244" s="596"/>
    </row>
    <row r="245" spans="19:19" ht="15" customHeight="1" x14ac:dyDescent="0.15">
      <c r="S245" s="596"/>
    </row>
    <row r="246" spans="19:19" ht="15" customHeight="1" x14ac:dyDescent="0.15">
      <c r="S246" s="596"/>
    </row>
    <row r="247" spans="19:19" ht="15" customHeight="1" x14ac:dyDescent="0.15">
      <c r="S247" s="596"/>
    </row>
    <row r="248" spans="19:19" ht="15" customHeight="1" x14ac:dyDescent="0.15">
      <c r="S248" s="596"/>
    </row>
    <row r="249" spans="19:19" ht="15" customHeight="1" x14ac:dyDescent="0.15">
      <c r="S249" s="596"/>
    </row>
    <row r="250" spans="19:19" ht="15" customHeight="1" x14ac:dyDescent="0.15">
      <c r="S250" s="596"/>
    </row>
    <row r="251" spans="19:19" ht="15" customHeight="1" x14ac:dyDescent="0.15">
      <c r="S251" s="596"/>
    </row>
    <row r="252" spans="19:19" ht="15" customHeight="1" x14ac:dyDescent="0.15">
      <c r="S252" s="596"/>
    </row>
    <row r="253" spans="19:19" ht="15" customHeight="1" x14ac:dyDescent="0.15">
      <c r="S253" s="596"/>
    </row>
    <row r="254" spans="19:19" ht="15" customHeight="1" x14ac:dyDescent="0.15">
      <c r="S254" s="596"/>
    </row>
    <row r="255" spans="19:19" ht="15" customHeight="1" x14ac:dyDescent="0.15">
      <c r="S255" s="596"/>
    </row>
    <row r="256" spans="19:19" ht="15" customHeight="1" x14ac:dyDescent="0.15">
      <c r="S256" s="596"/>
    </row>
    <row r="257" spans="19:19" ht="15" customHeight="1" x14ac:dyDescent="0.15">
      <c r="S257" s="596"/>
    </row>
    <row r="258" spans="19:19" ht="15" customHeight="1" x14ac:dyDescent="0.15">
      <c r="S258" s="596"/>
    </row>
    <row r="259" spans="19:19" ht="15" customHeight="1" x14ac:dyDescent="0.15">
      <c r="S259" s="596"/>
    </row>
    <row r="260" spans="19:19" ht="15" customHeight="1" x14ac:dyDescent="0.15">
      <c r="S260" s="596"/>
    </row>
    <row r="261" spans="19:19" ht="15" customHeight="1" x14ac:dyDescent="0.15">
      <c r="S261" s="596"/>
    </row>
    <row r="262" spans="19:19" ht="15" customHeight="1" x14ac:dyDescent="0.15">
      <c r="S262" s="596"/>
    </row>
    <row r="263" spans="19:19" ht="15" customHeight="1" x14ac:dyDescent="0.15">
      <c r="S263" s="596"/>
    </row>
    <row r="264" spans="19:19" ht="15" customHeight="1" x14ac:dyDescent="0.15">
      <c r="S264" s="596"/>
    </row>
    <row r="265" spans="19:19" ht="15" customHeight="1" x14ac:dyDescent="0.15">
      <c r="S265" s="596"/>
    </row>
    <row r="266" spans="19:19" ht="15" customHeight="1" x14ac:dyDescent="0.15">
      <c r="S266" s="596"/>
    </row>
    <row r="267" spans="19:19" ht="15" customHeight="1" x14ac:dyDescent="0.15">
      <c r="S267" s="596"/>
    </row>
    <row r="268" spans="19:19" ht="15" customHeight="1" x14ac:dyDescent="0.15">
      <c r="S268" s="596"/>
    </row>
    <row r="269" spans="19:19" ht="15" customHeight="1" x14ac:dyDescent="0.15">
      <c r="S269" s="596"/>
    </row>
    <row r="270" spans="19:19" ht="15" customHeight="1" x14ac:dyDescent="0.15">
      <c r="S270" s="596"/>
    </row>
    <row r="271" spans="19:19" ht="15" customHeight="1" x14ac:dyDescent="0.15">
      <c r="S271" s="596"/>
    </row>
    <row r="273" spans="19:19" ht="15" customHeight="1" x14ac:dyDescent="0.15">
      <c r="S273" s="596"/>
    </row>
    <row r="274" spans="19:19" ht="15" customHeight="1" x14ac:dyDescent="0.15">
      <c r="S274" s="596"/>
    </row>
    <row r="275" spans="19:19" ht="15" customHeight="1" x14ac:dyDescent="0.15">
      <c r="S275" s="596"/>
    </row>
    <row r="276" spans="19:19" ht="15" customHeight="1" x14ac:dyDescent="0.15">
      <c r="S276" s="596"/>
    </row>
    <row r="277" spans="19:19" ht="15" customHeight="1" x14ac:dyDescent="0.15">
      <c r="S277" s="596"/>
    </row>
    <row r="278" spans="19:19" ht="15" customHeight="1" x14ac:dyDescent="0.15">
      <c r="S278" s="596"/>
    </row>
    <row r="279" spans="19:19" ht="15" customHeight="1" x14ac:dyDescent="0.15">
      <c r="S279" s="596"/>
    </row>
    <row r="280" spans="19:19" ht="15" customHeight="1" x14ac:dyDescent="0.15">
      <c r="S280" s="596"/>
    </row>
    <row r="281" spans="19:19" ht="15" customHeight="1" x14ac:dyDescent="0.15">
      <c r="S281" s="596"/>
    </row>
    <row r="282" spans="19:19" ht="15" customHeight="1" x14ac:dyDescent="0.15">
      <c r="S282" s="596"/>
    </row>
    <row r="283" spans="19:19" ht="15" customHeight="1" x14ac:dyDescent="0.15">
      <c r="S283" s="596"/>
    </row>
    <row r="284" spans="19:19" ht="15" customHeight="1" x14ac:dyDescent="0.15">
      <c r="S284" s="596"/>
    </row>
    <row r="285" spans="19:19" ht="15" customHeight="1" x14ac:dyDescent="0.15">
      <c r="S285" s="596"/>
    </row>
    <row r="286" spans="19:19" ht="15" customHeight="1" x14ac:dyDescent="0.15">
      <c r="S286" s="596"/>
    </row>
    <row r="287" spans="19:19" ht="15" customHeight="1" x14ac:dyDescent="0.15">
      <c r="S287" s="596"/>
    </row>
    <row r="288" spans="19:19" ht="15" customHeight="1" x14ac:dyDescent="0.15">
      <c r="S288" s="596"/>
    </row>
    <row r="289" spans="19:19" ht="15" customHeight="1" x14ac:dyDescent="0.15">
      <c r="S289" s="596"/>
    </row>
    <row r="290" spans="19:19" ht="15" customHeight="1" x14ac:dyDescent="0.15">
      <c r="S290" s="596"/>
    </row>
    <row r="291" spans="19:19" ht="15" customHeight="1" x14ac:dyDescent="0.15">
      <c r="S291" s="596"/>
    </row>
    <row r="292" spans="19:19" ht="15" customHeight="1" x14ac:dyDescent="0.15">
      <c r="S292" s="596"/>
    </row>
    <row r="293" spans="19:19" ht="15" customHeight="1" x14ac:dyDescent="0.15">
      <c r="S293" s="596"/>
    </row>
    <row r="294" spans="19:19" ht="15" customHeight="1" x14ac:dyDescent="0.15">
      <c r="S294" s="596"/>
    </row>
    <row r="295" spans="19:19" ht="15" customHeight="1" x14ac:dyDescent="0.15">
      <c r="S295" s="596"/>
    </row>
    <row r="296" spans="19:19" ht="15" customHeight="1" x14ac:dyDescent="0.15">
      <c r="S296" s="596"/>
    </row>
    <row r="297" spans="19:19" ht="15" customHeight="1" x14ac:dyDescent="0.15">
      <c r="S297" s="596"/>
    </row>
    <row r="298" spans="19:19" ht="15" customHeight="1" x14ac:dyDescent="0.15">
      <c r="S298" s="596"/>
    </row>
    <row r="299" spans="19:19" ht="15" customHeight="1" x14ac:dyDescent="0.15">
      <c r="S299" s="596"/>
    </row>
    <row r="300" spans="19:19" ht="15" customHeight="1" x14ac:dyDescent="0.15">
      <c r="S300" s="596"/>
    </row>
    <row r="301" spans="19:19" ht="15" customHeight="1" x14ac:dyDescent="0.15">
      <c r="S301" s="596"/>
    </row>
    <row r="302" spans="19:19" ht="15" customHeight="1" x14ac:dyDescent="0.15">
      <c r="S302" s="596"/>
    </row>
    <row r="303" spans="19:19" ht="15" customHeight="1" x14ac:dyDescent="0.15">
      <c r="S303" s="596"/>
    </row>
    <row r="304" spans="19:19" ht="15" customHeight="1" x14ac:dyDescent="0.15">
      <c r="S304" s="596"/>
    </row>
    <row r="305" spans="19:27" ht="15" customHeight="1" x14ac:dyDescent="0.15">
      <c r="S305" s="596"/>
    </row>
    <row r="306" spans="19:27" ht="15" customHeight="1" x14ac:dyDescent="0.15">
      <c r="S306" s="596"/>
    </row>
    <row r="307" spans="19:27" ht="15" customHeight="1" x14ac:dyDescent="0.15">
      <c r="S307" s="596"/>
    </row>
    <row r="308" spans="19:27" ht="15" customHeight="1" x14ac:dyDescent="0.15">
      <c r="S308" s="596"/>
    </row>
    <row r="309" spans="19:27" ht="15" customHeight="1" x14ac:dyDescent="0.15">
      <c r="S309" s="596"/>
    </row>
    <row r="310" spans="19:27" ht="15" customHeight="1" x14ac:dyDescent="0.15">
      <c r="S310" s="596"/>
    </row>
    <row r="317" spans="19:27" x14ac:dyDescent="0.15">
      <c r="AA317" t="s">
        <v>119</v>
      </c>
    </row>
    <row r="318" spans="19:27" x14ac:dyDescent="0.15">
      <c r="AA318" t="s">
        <v>120</v>
      </c>
    </row>
    <row r="319" spans="19:27" x14ac:dyDescent="0.15">
      <c r="AA319" t="s">
        <v>121</v>
      </c>
    </row>
    <row r="320" spans="19:27" x14ac:dyDescent="0.15">
      <c r="AA320" t="s">
        <v>122</v>
      </c>
    </row>
    <row r="321" spans="27:27" x14ac:dyDescent="0.15">
      <c r="AA321" t="s">
        <v>123</v>
      </c>
    </row>
    <row r="322" spans="27:27" x14ac:dyDescent="0.15">
      <c r="AA322" t="s">
        <v>124</v>
      </c>
    </row>
    <row r="323" spans="27:27" x14ac:dyDescent="0.15">
      <c r="AA323" t="s">
        <v>125</v>
      </c>
    </row>
    <row r="324" spans="27:27" x14ac:dyDescent="0.15">
      <c r="AA324" t="s">
        <v>126</v>
      </c>
    </row>
    <row r="325" spans="27:27" x14ac:dyDescent="0.15">
      <c r="AA325" t="s">
        <v>127</v>
      </c>
    </row>
    <row r="326" spans="27:27" x14ac:dyDescent="0.15">
      <c r="AA326" t="s">
        <v>128</v>
      </c>
    </row>
    <row r="327" spans="27:27" x14ac:dyDescent="0.15">
      <c r="AA327" t="s">
        <v>129</v>
      </c>
    </row>
    <row r="328" spans="27:27" x14ac:dyDescent="0.15">
      <c r="AA328" t="s">
        <v>130</v>
      </c>
    </row>
    <row r="329" spans="27:27" x14ac:dyDescent="0.15">
      <c r="AA329" t="s">
        <v>131</v>
      </c>
    </row>
    <row r="330" spans="27:27" x14ac:dyDescent="0.15">
      <c r="AA330" t="s">
        <v>132</v>
      </c>
    </row>
    <row r="331" spans="27:27" x14ac:dyDescent="0.15">
      <c r="AA331" t="s">
        <v>133</v>
      </c>
    </row>
    <row r="332" spans="27:27" x14ac:dyDescent="0.15">
      <c r="AA332" t="s">
        <v>134</v>
      </c>
    </row>
    <row r="333" spans="27:27" x14ac:dyDescent="0.15">
      <c r="AA333" t="s">
        <v>135</v>
      </c>
    </row>
    <row r="400" spans="28:28" x14ac:dyDescent="0.15">
      <c r="AB400" t="s">
        <v>136</v>
      </c>
    </row>
    <row r="401" spans="28:28" x14ac:dyDescent="0.15">
      <c r="AB401" t="s">
        <v>137</v>
      </c>
    </row>
    <row r="402" spans="28:28" x14ac:dyDescent="0.15">
      <c r="AB402" t="s">
        <v>138</v>
      </c>
    </row>
    <row r="403" spans="28:28" x14ac:dyDescent="0.15">
      <c r="AB403" t="s">
        <v>139</v>
      </c>
    </row>
    <row r="404" spans="28:28" x14ac:dyDescent="0.15">
      <c r="AB404" t="s">
        <v>140</v>
      </c>
    </row>
    <row r="405" spans="28:28" x14ac:dyDescent="0.15">
      <c r="AB405" t="s">
        <v>141</v>
      </c>
    </row>
    <row r="406" spans="28:28" x14ac:dyDescent="0.15">
      <c r="AB406" t="s">
        <v>142</v>
      </c>
    </row>
    <row r="407" spans="28:28" x14ac:dyDescent="0.15">
      <c r="AB407" t="s">
        <v>143</v>
      </c>
    </row>
    <row r="408" spans="28:28" x14ac:dyDescent="0.15">
      <c r="AB408" t="s">
        <v>144</v>
      </c>
    </row>
    <row r="409" spans="28:28" x14ac:dyDescent="0.15">
      <c r="AB409" t="s">
        <v>145</v>
      </c>
    </row>
    <row r="410" spans="28:28" x14ac:dyDescent="0.15">
      <c r="AB410" t="s">
        <v>146</v>
      </c>
    </row>
    <row r="411" spans="28:28" x14ac:dyDescent="0.15">
      <c r="AB411" t="s">
        <v>147</v>
      </c>
    </row>
    <row r="412" spans="28:28" x14ac:dyDescent="0.15">
      <c r="AB412" t="s">
        <v>148</v>
      </c>
    </row>
    <row r="413" spans="28:28" x14ac:dyDescent="0.15">
      <c r="AB413" t="s">
        <v>149</v>
      </c>
    </row>
    <row r="414" spans="28:28" x14ac:dyDescent="0.15">
      <c r="AB414" t="s">
        <v>150</v>
      </c>
    </row>
    <row r="415" spans="28:28" x14ac:dyDescent="0.15">
      <c r="AB415" t="s">
        <v>151</v>
      </c>
    </row>
    <row r="416" spans="28:28" x14ac:dyDescent="0.15">
      <c r="AB416" t="s">
        <v>152</v>
      </c>
    </row>
    <row r="417" spans="28:28" x14ac:dyDescent="0.15">
      <c r="AB417" t="s">
        <v>153</v>
      </c>
    </row>
    <row r="418" spans="28:28" x14ac:dyDescent="0.15">
      <c r="AB418" t="s">
        <v>154</v>
      </c>
    </row>
    <row r="419" spans="28:28" x14ac:dyDescent="0.15">
      <c r="AB419" t="s">
        <v>155</v>
      </c>
    </row>
    <row r="420" spans="28:28" x14ac:dyDescent="0.15">
      <c r="AB420" t="s">
        <v>156</v>
      </c>
    </row>
    <row r="421" spans="28:28" x14ac:dyDescent="0.15">
      <c r="AB421" t="s">
        <v>157</v>
      </c>
    </row>
    <row r="422" spans="28:28" x14ac:dyDescent="0.15">
      <c r="AB422" t="s">
        <v>158</v>
      </c>
    </row>
    <row r="423" spans="28:28" x14ac:dyDescent="0.15">
      <c r="AB423" t="s">
        <v>159</v>
      </c>
    </row>
    <row r="424" spans="28:28" x14ac:dyDescent="0.15">
      <c r="AB424" t="s">
        <v>160</v>
      </c>
    </row>
    <row r="425" spans="28:28" x14ac:dyDescent="0.15">
      <c r="AB425" t="s">
        <v>161</v>
      </c>
    </row>
    <row r="426" spans="28:28" x14ac:dyDescent="0.15">
      <c r="AB426" t="s">
        <v>162</v>
      </c>
    </row>
    <row r="427" spans="28:28" x14ac:dyDescent="0.15">
      <c r="AB427" t="s">
        <v>163</v>
      </c>
    </row>
    <row r="428" spans="28:28" x14ac:dyDescent="0.15">
      <c r="AB428" t="s">
        <v>164</v>
      </c>
    </row>
    <row r="429" spans="28:28" x14ac:dyDescent="0.15">
      <c r="AB429" t="s">
        <v>165</v>
      </c>
    </row>
    <row r="430" spans="28:28" x14ac:dyDescent="0.15">
      <c r="AB430" t="s">
        <v>166</v>
      </c>
    </row>
    <row r="431" spans="28:28" x14ac:dyDescent="0.15">
      <c r="AB431" t="s">
        <v>167</v>
      </c>
    </row>
    <row r="432" spans="28:28" x14ac:dyDescent="0.15">
      <c r="AB432" t="s">
        <v>168</v>
      </c>
    </row>
    <row r="433" spans="28:28" x14ac:dyDescent="0.15">
      <c r="AB433" t="s">
        <v>169</v>
      </c>
    </row>
    <row r="434" spans="28:28" x14ac:dyDescent="0.15">
      <c r="AB434" t="s">
        <v>170</v>
      </c>
    </row>
    <row r="435" spans="28:28" x14ac:dyDescent="0.15">
      <c r="AB435" t="s">
        <v>171</v>
      </c>
    </row>
    <row r="436" spans="28:28" x14ac:dyDescent="0.15">
      <c r="AB436" t="s">
        <v>172</v>
      </c>
    </row>
    <row r="437" spans="28:28" x14ac:dyDescent="0.15">
      <c r="AB437" t="s">
        <v>173</v>
      </c>
    </row>
    <row r="438" spans="28:28" x14ac:dyDescent="0.15">
      <c r="AB438" t="s">
        <v>174</v>
      </c>
    </row>
    <row r="439" spans="28:28" x14ac:dyDescent="0.15">
      <c r="AB439" t="s">
        <v>175</v>
      </c>
    </row>
    <row r="440" spans="28:28" x14ac:dyDescent="0.15">
      <c r="AB440" t="s">
        <v>176</v>
      </c>
    </row>
    <row r="441" spans="28:28" x14ac:dyDescent="0.15">
      <c r="AB441" t="s">
        <v>177</v>
      </c>
    </row>
    <row r="442" spans="28:28" x14ac:dyDescent="0.15">
      <c r="AB442" t="s">
        <v>178</v>
      </c>
    </row>
    <row r="443" spans="28:28" x14ac:dyDescent="0.15">
      <c r="AB443" t="s">
        <v>179</v>
      </c>
    </row>
    <row r="444" spans="28:28" x14ac:dyDescent="0.15">
      <c r="AB444" t="s">
        <v>180</v>
      </c>
    </row>
    <row r="445" spans="28:28" x14ac:dyDescent="0.15">
      <c r="AB445" t="s">
        <v>181</v>
      </c>
    </row>
    <row r="446" spans="28:28" x14ac:dyDescent="0.15">
      <c r="AB446" t="s">
        <v>182</v>
      </c>
    </row>
    <row r="447" spans="28:28" x14ac:dyDescent="0.15">
      <c r="AB447" t="s">
        <v>183</v>
      </c>
    </row>
    <row r="448" spans="28:28" x14ac:dyDescent="0.15">
      <c r="AB448" t="s">
        <v>184</v>
      </c>
    </row>
    <row r="449" spans="28:28" x14ac:dyDescent="0.15">
      <c r="AB449" t="s">
        <v>185</v>
      </c>
    </row>
    <row r="450" spans="28:28" x14ac:dyDescent="0.15">
      <c r="AB450" t="s">
        <v>186</v>
      </c>
    </row>
    <row r="451" spans="28:28" x14ac:dyDescent="0.15">
      <c r="AB451" t="s">
        <v>187</v>
      </c>
    </row>
    <row r="452" spans="28:28" x14ac:dyDescent="0.15">
      <c r="AB452" t="s">
        <v>188</v>
      </c>
    </row>
    <row r="453" spans="28:28" x14ac:dyDescent="0.15">
      <c r="AB453" t="s">
        <v>189</v>
      </c>
    </row>
    <row r="454" spans="28:28" x14ac:dyDescent="0.15">
      <c r="AB454" t="s">
        <v>190</v>
      </c>
    </row>
    <row r="455" spans="28:28" x14ac:dyDescent="0.15">
      <c r="AB455" t="s">
        <v>191</v>
      </c>
    </row>
    <row r="456" spans="28:28" x14ac:dyDescent="0.15">
      <c r="AB456" t="s">
        <v>192</v>
      </c>
    </row>
    <row r="457" spans="28:28" x14ac:dyDescent="0.15">
      <c r="AB457" t="s">
        <v>193</v>
      </c>
    </row>
    <row r="458" spans="28:28" x14ac:dyDescent="0.15">
      <c r="AB458" t="s">
        <v>194</v>
      </c>
    </row>
    <row r="459" spans="28:28" x14ac:dyDescent="0.15">
      <c r="AB459" t="s">
        <v>195</v>
      </c>
    </row>
    <row r="460" spans="28:28" x14ac:dyDescent="0.15">
      <c r="AB460" t="s">
        <v>196</v>
      </c>
    </row>
    <row r="461" spans="28:28" x14ac:dyDescent="0.15">
      <c r="AB461" t="s">
        <v>197</v>
      </c>
    </row>
    <row r="462" spans="28:28" x14ac:dyDescent="0.15">
      <c r="AB462" t="s">
        <v>198</v>
      </c>
    </row>
    <row r="463" spans="28:28" x14ac:dyDescent="0.15">
      <c r="AB463" t="s">
        <v>199</v>
      </c>
    </row>
    <row r="464" spans="28:28" x14ac:dyDescent="0.15">
      <c r="AB464" t="s">
        <v>200</v>
      </c>
    </row>
    <row r="465" spans="28:28" x14ac:dyDescent="0.15">
      <c r="AB465" t="s">
        <v>201</v>
      </c>
    </row>
    <row r="466" spans="28:28" x14ac:dyDescent="0.15">
      <c r="AB466" t="s">
        <v>202</v>
      </c>
    </row>
    <row r="467" spans="28:28" x14ac:dyDescent="0.15">
      <c r="AB467" t="s">
        <v>203</v>
      </c>
    </row>
    <row r="468" spans="28:28" x14ac:dyDescent="0.15">
      <c r="AB468" t="s">
        <v>204</v>
      </c>
    </row>
    <row r="469" spans="28:28" x14ac:dyDescent="0.15">
      <c r="AB469" t="s">
        <v>205</v>
      </c>
    </row>
    <row r="470" spans="28:28" x14ac:dyDescent="0.15">
      <c r="AB470" t="s">
        <v>206</v>
      </c>
    </row>
    <row r="471" spans="28:28" x14ac:dyDescent="0.15">
      <c r="AB471" t="s">
        <v>207</v>
      </c>
    </row>
    <row r="472" spans="28:28" x14ac:dyDescent="0.15">
      <c r="AB472" t="s">
        <v>208</v>
      </c>
    </row>
    <row r="473" spans="28:28" x14ac:dyDescent="0.15">
      <c r="AB473" t="s">
        <v>209</v>
      </c>
    </row>
    <row r="474" spans="28:28" x14ac:dyDescent="0.15">
      <c r="AB474" t="s">
        <v>210</v>
      </c>
    </row>
    <row r="475" spans="28:28" x14ac:dyDescent="0.15">
      <c r="AB475" t="s">
        <v>211</v>
      </c>
    </row>
    <row r="476" spans="28:28" x14ac:dyDescent="0.15">
      <c r="AB476" t="s">
        <v>212</v>
      </c>
    </row>
    <row r="477" spans="28:28" x14ac:dyDescent="0.15">
      <c r="AB477" t="s">
        <v>213</v>
      </c>
    </row>
    <row r="478" spans="28:28" x14ac:dyDescent="0.15">
      <c r="AB478" t="s">
        <v>214</v>
      </c>
    </row>
    <row r="479" spans="28:28" x14ac:dyDescent="0.15">
      <c r="AB479" t="s">
        <v>215</v>
      </c>
    </row>
    <row r="480" spans="28:28" x14ac:dyDescent="0.15">
      <c r="AB480" t="s">
        <v>216</v>
      </c>
    </row>
    <row r="481" spans="28:28" x14ac:dyDescent="0.15">
      <c r="AB481" t="s">
        <v>217</v>
      </c>
    </row>
    <row r="482" spans="28:28" x14ac:dyDescent="0.15">
      <c r="AB482" t="s">
        <v>218</v>
      </c>
    </row>
    <row r="483" spans="28:28" x14ac:dyDescent="0.15">
      <c r="AB483" t="s">
        <v>219</v>
      </c>
    </row>
    <row r="484" spans="28:28" x14ac:dyDescent="0.15">
      <c r="AB484" t="s">
        <v>220</v>
      </c>
    </row>
    <row r="485" spans="28:28" x14ac:dyDescent="0.15">
      <c r="AB485" t="s">
        <v>221</v>
      </c>
    </row>
    <row r="486" spans="28:28" x14ac:dyDescent="0.15">
      <c r="AB486" t="s">
        <v>222</v>
      </c>
    </row>
    <row r="487" spans="28:28" x14ac:dyDescent="0.15">
      <c r="AB487" t="s">
        <v>223</v>
      </c>
    </row>
    <row r="488" spans="28:28" x14ac:dyDescent="0.15">
      <c r="AB488" t="s">
        <v>224</v>
      </c>
    </row>
    <row r="489" spans="28:28" x14ac:dyDescent="0.15">
      <c r="AB489" t="s">
        <v>225</v>
      </c>
    </row>
    <row r="490" spans="28:28" x14ac:dyDescent="0.15">
      <c r="AB490" t="s">
        <v>226</v>
      </c>
    </row>
    <row r="491" spans="28:28" x14ac:dyDescent="0.15">
      <c r="AB491" t="s">
        <v>227</v>
      </c>
    </row>
    <row r="492" spans="28:28" x14ac:dyDescent="0.15">
      <c r="AB492" t="s">
        <v>228</v>
      </c>
    </row>
    <row r="493" spans="28:28" x14ac:dyDescent="0.15">
      <c r="AB493" t="s">
        <v>229</v>
      </c>
    </row>
    <row r="494" spans="28:28" x14ac:dyDescent="0.15">
      <c r="AB494" t="s">
        <v>230</v>
      </c>
    </row>
    <row r="495" spans="28:28" x14ac:dyDescent="0.15">
      <c r="AB495" t="s">
        <v>231</v>
      </c>
    </row>
    <row r="496" spans="28:28" x14ac:dyDescent="0.15">
      <c r="AB496" t="s">
        <v>232</v>
      </c>
    </row>
    <row r="497" spans="28:28" x14ac:dyDescent="0.15">
      <c r="AB497" t="s">
        <v>233</v>
      </c>
    </row>
    <row r="498" spans="28:28" x14ac:dyDescent="0.15">
      <c r="AB498" t="s">
        <v>234</v>
      </c>
    </row>
    <row r="499" spans="28:28" x14ac:dyDescent="0.15">
      <c r="AB499" t="s">
        <v>235</v>
      </c>
    </row>
    <row r="500" spans="28:28" x14ac:dyDescent="0.15">
      <c r="AB500" t="s">
        <v>236</v>
      </c>
    </row>
    <row r="501" spans="28:28" x14ac:dyDescent="0.15">
      <c r="AB501" t="s">
        <v>237</v>
      </c>
    </row>
    <row r="502" spans="28:28" x14ac:dyDescent="0.15">
      <c r="AB502" t="s">
        <v>238</v>
      </c>
    </row>
    <row r="503" spans="28:28" x14ac:dyDescent="0.15">
      <c r="AB503" t="s">
        <v>239</v>
      </c>
    </row>
    <row r="504" spans="28:28" x14ac:dyDescent="0.15">
      <c r="AB504" t="s">
        <v>240</v>
      </c>
    </row>
    <row r="505" spans="28:28" x14ac:dyDescent="0.15">
      <c r="AB505" t="s">
        <v>241</v>
      </c>
    </row>
    <row r="506" spans="28:28" x14ac:dyDescent="0.15">
      <c r="AB506" t="s">
        <v>242</v>
      </c>
    </row>
    <row r="507" spans="28:28" x14ac:dyDescent="0.15">
      <c r="AB507" t="s">
        <v>243</v>
      </c>
    </row>
    <row r="508" spans="28:28" x14ac:dyDescent="0.15">
      <c r="AB508" t="s">
        <v>244</v>
      </c>
    </row>
    <row r="509" spans="28:28" x14ac:dyDescent="0.15">
      <c r="AB509" t="s">
        <v>245</v>
      </c>
    </row>
    <row r="510" spans="28:28" x14ac:dyDescent="0.15">
      <c r="AB510" t="s">
        <v>246</v>
      </c>
    </row>
    <row r="511" spans="28:28" x14ac:dyDescent="0.15">
      <c r="AB511" t="s">
        <v>247</v>
      </c>
    </row>
    <row r="512" spans="28:28" x14ac:dyDescent="0.15">
      <c r="AB512" t="s">
        <v>248</v>
      </c>
    </row>
    <row r="513" spans="28:28" x14ac:dyDescent="0.15">
      <c r="AB513" t="s">
        <v>249</v>
      </c>
    </row>
    <row r="514" spans="28:28" x14ac:dyDescent="0.15">
      <c r="AB514" t="s">
        <v>250</v>
      </c>
    </row>
    <row r="515" spans="28:28" x14ac:dyDescent="0.15">
      <c r="AB515" t="s">
        <v>251</v>
      </c>
    </row>
    <row r="516" spans="28:28" x14ac:dyDescent="0.15">
      <c r="AB516" t="s">
        <v>252</v>
      </c>
    </row>
    <row r="517" spans="28:28" x14ac:dyDescent="0.15">
      <c r="AB517" t="s">
        <v>253</v>
      </c>
    </row>
    <row r="518" spans="28:28" x14ac:dyDescent="0.15">
      <c r="AB518" t="s">
        <v>254</v>
      </c>
    </row>
    <row r="519" spans="28:28" x14ac:dyDescent="0.15">
      <c r="AB519" t="s">
        <v>255</v>
      </c>
    </row>
    <row r="520" spans="28:28" x14ac:dyDescent="0.15">
      <c r="AB520" t="s">
        <v>256</v>
      </c>
    </row>
    <row r="521" spans="28:28" x14ac:dyDescent="0.15">
      <c r="AB521" t="s">
        <v>257</v>
      </c>
    </row>
    <row r="522" spans="28:28" x14ac:dyDescent="0.15">
      <c r="AB522" t="s">
        <v>258</v>
      </c>
    </row>
    <row r="523" spans="28:28" x14ac:dyDescent="0.15">
      <c r="AB523" t="s">
        <v>259</v>
      </c>
    </row>
    <row r="524" spans="28:28" x14ac:dyDescent="0.15">
      <c r="AB524" t="s">
        <v>260</v>
      </c>
    </row>
    <row r="525" spans="28:28" x14ac:dyDescent="0.15">
      <c r="AB525" t="s">
        <v>261</v>
      </c>
    </row>
    <row r="526" spans="28:28" x14ac:dyDescent="0.15">
      <c r="AB526" t="s">
        <v>262</v>
      </c>
    </row>
    <row r="527" spans="28:28" x14ac:dyDescent="0.15">
      <c r="AB527" t="s">
        <v>263</v>
      </c>
    </row>
    <row r="528" spans="28:28" x14ac:dyDescent="0.15">
      <c r="AB528" t="s">
        <v>264</v>
      </c>
    </row>
    <row r="529" spans="28:28" x14ac:dyDescent="0.15">
      <c r="AB529" t="s">
        <v>265</v>
      </c>
    </row>
    <row r="530" spans="28:28" x14ac:dyDescent="0.15">
      <c r="AB530" t="s">
        <v>266</v>
      </c>
    </row>
    <row r="531" spans="28:28" x14ac:dyDescent="0.15">
      <c r="AB531" t="s">
        <v>267</v>
      </c>
    </row>
    <row r="532" spans="28:28" x14ac:dyDescent="0.15">
      <c r="AB532" t="s">
        <v>268</v>
      </c>
    </row>
    <row r="533" spans="28:28" x14ac:dyDescent="0.15">
      <c r="AB533" t="s">
        <v>269</v>
      </c>
    </row>
    <row r="534" spans="28:28" x14ac:dyDescent="0.15">
      <c r="AB534" t="s">
        <v>270</v>
      </c>
    </row>
    <row r="535" spans="28:28" x14ac:dyDescent="0.15">
      <c r="AB535" t="s">
        <v>271</v>
      </c>
    </row>
    <row r="536" spans="28:28" x14ac:dyDescent="0.15">
      <c r="AB536" t="s">
        <v>272</v>
      </c>
    </row>
    <row r="537" spans="28:28" x14ac:dyDescent="0.15">
      <c r="AB537" t="s">
        <v>273</v>
      </c>
    </row>
    <row r="538" spans="28:28" x14ac:dyDescent="0.15">
      <c r="AB538" t="s">
        <v>274</v>
      </c>
    </row>
    <row r="539" spans="28:28" x14ac:dyDescent="0.15">
      <c r="AB539" t="s">
        <v>275</v>
      </c>
    </row>
    <row r="540" spans="28:28" x14ac:dyDescent="0.15">
      <c r="AB540" t="s">
        <v>90</v>
      </c>
    </row>
    <row r="541" spans="28:28" x14ac:dyDescent="0.15">
      <c r="AB541" t="s">
        <v>276</v>
      </c>
    </row>
    <row r="542" spans="28:28" x14ac:dyDescent="0.15">
      <c r="AB542" t="s">
        <v>277</v>
      </c>
    </row>
    <row r="543" spans="28:28" x14ac:dyDescent="0.15">
      <c r="AB543" t="s">
        <v>278</v>
      </c>
    </row>
    <row r="544" spans="28:28" x14ac:dyDescent="0.15">
      <c r="AB544" t="s">
        <v>279</v>
      </c>
    </row>
    <row r="545" spans="28:28" x14ac:dyDescent="0.15">
      <c r="AB545" t="s">
        <v>280</v>
      </c>
    </row>
    <row r="546" spans="28:28" x14ac:dyDescent="0.15">
      <c r="AB546" t="s">
        <v>281</v>
      </c>
    </row>
    <row r="547" spans="28:28" x14ac:dyDescent="0.15">
      <c r="AB547" t="s">
        <v>282</v>
      </c>
    </row>
    <row r="548" spans="28:28" x14ac:dyDescent="0.15">
      <c r="AB548" t="s">
        <v>283</v>
      </c>
    </row>
    <row r="549" spans="28:28" x14ac:dyDescent="0.15">
      <c r="AB549" t="s">
        <v>284</v>
      </c>
    </row>
    <row r="550" spans="28:28" x14ac:dyDescent="0.15">
      <c r="AB550" t="s">
        <v>285</v>
      </c>
    </row>
    <row r="551" spans="28:28" x14ac:dyDescent="0.15">
      <c r="AB551" t="s">
        <v>286</v>
      </c>
    </row>
    <row r="552" spans="28:28" x14ac:dyDescent="0.15">
      <c r="AB552" t="s">
        <v>287</v>
      </c>
    </row>
    <row r="553" spans="28:28" x14ac:dyDescent="0.15">
      <c r="AB553" t="s">
        <v>288</v>
      </c>
    </row>
    <row r="554" spans="28:28" x14ac:dyDescent="0.15">
      <c r="AB554" t="s">
        <v>289</v>
      </c>
    </row>
    <row r="555" spans="28:28" x14ac:dyDescent="0.15">
      <c r="AB555" t="s">
        <v>290</v>
      </c>
    </row>
    <row r="556" spans="28:28" x14ac:dyDescent="0.15">
      <c r="AB556" t="s">
        <v>291</v>
      </c>
    </row>
    <row r="557" spans="28:28" x14ac:dyDescent="0.15">
      <c r="AB557" t="s">
        <v>292</v>
      </c>
    </row>
    <row r="558" spans="28:28" x14ac:dyDescent="0.15">
      <c r="AB558" t="s">
        <v>293</v>
      </c>
    </row>
    <row r="559" spans="28:28" x14ac:dyDescent="0.15">
      <c r="AB559" t="s">
        <v>294</v>
      </c>
    </row>
    <row r="560" spans="28:28" x14ac:dyDescent="0.15">
      <c r="AB560" t="s">
        <v>295</v>
      </c>
    </row>
    <row r="561" spans="28:28" x14ac:dyDescent="0.15">
      <c r="AB561" t="s">
        <v>296</v>
      </c>
    </row>
    <row r="562" spans="28:28" x14ac:dyDescent="0.15">
      <c r="AB562" t="s">
        <v>297</v>
      </c>
    </row>
    <row r="563" spans="28:28" x14ac:dyDescent="0.15">
      <c r="AB563" t="s">
        <v>298</v>
      </c>
    </row>
    <row r="564" spans="28:28" x14ac:dyDescent="0.15">
      <c r="AB564" t="s">
        <v>299</v>
      </c>
    </row>
    <row r="565" spans="28:28" x14ac:dyDescent="0.15">
      <c r="AB565" t="s">
        <v>300</v>
      </c>
    </row>
    <row r="566" spans="28:28" x14ac:dyDescent="0.15">
      <c r="AB566" t="s">
        <v>301</v>
      </c>
    </row>
    <row r="567" spans="28:28" x14ac:dyDescent="0.15">
      <c r="AB567" t="s">
        <v>302</v>
      </c>
    </row>
    <row r="568" spans="28:28" x14ac:dyDescent="0.15">
      <c r="AB568" t="s">
        <v>303</v>
      </c>
    </row>
    <row r="569" spans="28:28" x14ac:dyDescent="0.15">
      <c r="AB569" t="s">
        <v>304</v>
      </c>
    </row>
    <row r="570" spans="28:28" x14ac:dyDescent="0.15">
      <c r="AB570" t="s">
        <v>305</v>
      </c>
    </row>
    <row r="571" spans="28:28" x14ac:dyDescent="0.15">
      <c r="AB571" t="s">
        <v>306</v>
      </c>
    </row>
    <row r="572" spans="28:28" x14ac:dyDescent="0.15">
      <c r="AB572" t="s">
        <v>307</v>
      </c>
    </row>
    <row r="573" spans="28:28" x14ac:dyDescent="0.15">
      <c r="AB573" t="s">
        <v>308</v>
      </c>
    </row>
    <row r="574" spans="28:28" x14ac:dyDescent="0.15">
      <c r="AB574" t="s">
        <v>309</v>
      </c>
    </row>
    <row r="575" spans="28:28" x14ac:dyDescent="0.15">
      <c r="AB575" t="s">
        <v>310</v>
      </c>
    </row>
    <row r="576" spans="28:28" x14ac:dyDescent="0.15">
      <c r="AB576" t="s">
        <v>311</v>
      </c>
    </row>
    <row r="577" spans="28:28" x14ac:dyDescent="0.15">
      <c r="AB577" t="s">
        <v>312</v>
      </c>
    </row>
    <row r="578" spans="28:28" x14ac:dyDescent="0.15">
      <c r="AB578" t="s">
        <v>313</v>
      </c>
    </row>
    <row r="579" spans="28:28" x14ac:dyDescent="0.15">
      <c r="AB579" t="s">
        <v>314</v>
      </c>
    </row>
    <row r="580" spans="28:28" x14ac:dyDescent="0.15">
      <c r="AB580" t="s">
        <v>315</v>
      </c>
    </row>
    <row r="581" spans="28:28" x14ac:dyDescent="0.15">
      <c r="AB581" t="s">
        <v>316</v>
      </c>
    </row>
    <row r="582" spans="28:28" x14ac:dyDescent="0.15">
      <c r="AB582" t="s">
        <v>317</v>
      </c>
    </row>
    <row r="583" spans="28:28" x14ac:dyDescent="0.15">
      <c r="AB583" t="s">
        <v>318</v>
      </c>
    </row>
    <row r="584" spans="28:28" x14ac:dyDescent="0.15">
      <c r="AB584" t="s">
        <v>319</v>
      </c>
    </row>
    <row r="585" spans="28:28" x14ac:dyDescent="0.15">
      <c r="AB585" t="s">
        <v>320</v>
      </c>
    </row>
    <row r="586" spans="28:28" x14ac:dyDescent="0.15">
      <c r="AB586" t="s">
        <v>321</v>
      </c>
    </row>
    <row r="587" spans="28:28" x14ac:dyDescent="0.15">
      <c r="AB587" t="s">
        <v>322</v>
      </c>
    </row>
    <row r="588" spans="28:28" x14ac:dyDescent="0.15">
      <c r="AB588" t="s">
        <v>323</v>
      </c>
    </row>
    <row r="589" spans="28:28" x14ac:dyDescent="0.15">
      <c r="AB589" t="s">
        <v>324</v>
      </c>
    </row>
    <row r="590" spans="28:28" x14ac:dyDescent="0.15">
      <c r="AB590" t="s">
        <v>325</v>
      </c>
    </row>
    <row r="591" spans="28:28" x14ac:dyDescent="0.15">
      <c r="AB591" t="s">
        <v>326</v>
      </c>
    </row>
    <row r="592" spans="28:28" x14ac:dyDescent="0.15">
      <c r="AB592" t="s">
        <v>327</v>
      </c>
    </row>
  </sheetData>
  <mergeCells count="72">
    <mergeCell ref="D197:F197"/>
    <mergeCell ref="B182:G182"/>
    <mergeCell ref="H55:I55"/>
    <mergeCell ref="H40:I40"/>
    <mergeCell ref="H74:I74"/>
    <mergeCell ref="H176:I176"/>
    <mergeCell ref="H56:I56"/>
    <mergeCell ref="D195:E195"/>
    <mergeCell ref="H91:I91"/>
    <mergeCell ref="D189:I189"/>
    <mergeCell ref="E121:F121"/>
    <mergeCell ref="H125:I125"/>
    <mergeCell ref="P7:R7"/>
    <mergeCell ref="E87:F87"/>
    <mergeCell ref="H21:I21"/>
    <mergeCell ref="G9:J9"/>
    <mergeCell ref="H157:I157"/>
    <mergeCell ref="H73:I73"/>
    <mergeCell ref="E138:F138"/>
    <mergeCell ref="H38:I38"/>
    <mergeCell ref="H107:I107"/>
    <mergeCell ref="E53:F53"/>
    <mergeCell ref="H141:I141"/>
    <mergeCell ref="H39:I39"/>
    <mergeCell ref="E35:F35"/>
    <mergeCell ref="B204:O204"/>
    <mergeCell ref="E19:F19"/>
    <mergeCell ref="H142:I142"/>
    <mergeCell ref="E155:F155"/>
    <mergeCell ref="H89:I89"/>
    <mergeCell ref="H123:I123"/>
    <mergeCell ref="H23:I23"/>
    <mergeCell ref="D194:F194"/>
    <mergeCell ref="B200:O200"/>
    <mergeCell ref="G186:I186"/>
    <mergeCell ref="B203:O203"/>
    <mergeCell ref="B202:O202"/>
    <mergeCell ref="D193:F193"/>
    <mergeCell ref="E183:F183"/>
    <mergeCell ref="H124:I124"/>
    <mergeCell ref="B201:O201"/>
    <mergeCell ref="B1:C1"/>
    <mergeCell ref="E9:F9"/>
    <mergeCell ref="H108:I108"/>
    <mergeCell ref="E186:F186"/>
    <mergeCell ref="H175:I175"/>
    <mergeCell ref="G183:I183"/>
    <mergeCell ref="E104:F104"/>
    <mergeCell ref="H72:I72"/>
    <mergeCell ref="H174:I174"/>
    <mergeCell ref="H90:I90"/>
    <mergeCell ref="G3:J3"/>
    <mergeCell ref="E184:F184"/>
    <mergeCell ref="C3:D3"/>
    <mergeCell ref="C5:D5"/>
    <mergeCell ref="E185:F185"/>
    <mergeCell ref="P5:T5"/>
    <mergeCell ref="H106:I106"/>
    <mergeCell ref="B205:O205"/>
    <mergeCell ref="H57:I57"/>
    <mergeCell ref="E36:F36"/>
    <mergeCell ref="H159:I159"/>
    <mergeCell ref="G7:J7"/>
    <mergeCell ref="H22:I22"/>
    <mergeCell ref="E70:F70"/>
    <mergeCell ref="H140:I140"/>
    <mergeCell ref="H158:I158"/>
    <mergeCell ref="D196:E196"/>
    <mergeCell ref="E172:F172"/>
    <mergeCell ref="C7:D7"/>
    <mergeCell ref="D190:I190"/>
    <mergeCell ref="G5:J5"/>
  </mergeCells>
  <conditionalFormatting sqref="B9">
    <cfRule type="containsText" dxfId="5863" priority="759" operator="containsText" text="SELECT">
      <formula>NOT(ISERROR(SEARCH("SELECT",B9)))</formula>
    </cfRule>
    <cfRule type="expression" dxfId="5862" priority="760">
      <formula>B9="CURRENCY"</formula>
    </cfRule>
  </conditionalFormatting>
  <conditionalFormatting sqref="B11">
    <cfRule type="expression" dxfId="5861" priority="722">
      <formula>$B11&lt;&gt;""</formula>
    </cfRule>
  </conditionalFormatting>
  <conditionalFormatting sqref="B14:B23">
    <cfRule type="expression" dxfId="5860" priority="714">
      <formula>$J14&gt;0</formula>
    </cfRule>
  </conditionalFormatting>
  <conditionalFormatting sqref="B24">
    <cfRule type="expression" dxfId="5859" priority="712">
      <formula>($D14="CANOPY TYPE")</formula>
    </cfRule>
    <cfRule type="expression" dxfId="5858" priority="711">
      <formula>ISNUMBER(SEARCH("UV",$D14))</formula>
    </cfRule>
  </conditionalFormatting>
  <conditionalFormatting sqref="B25:B27">
    <cfRule type="expression" dxfId="5857" priority="527">
      <formula>$J25&gt;0</formula>
    </cfRule>
  </conditionalFormatting>
  <conditionalFormatting sqref="B28">
    <cfRule type="expression" dxfId="5856" priority="720">
      <formula>$B28&lt;&gt;""</formula>
    </cfRule>
  </conditionalFormatting>
  <conditionalFormatting sqref="B31:B40">
    <cfRule type="expression" dxfId="5855" priority="118">
      <formula>$J31&gt;0</formula>
    </cfRule>
  </conditionalFormatting>
  <conditionalFormatting sqref="B41">
    <cfRule type="expression" dxfId="5854" priority="680">
      <formula>($D31="CANOPY TYPE")</formula>
    </cfRule>
    <cfRule type="expression" dxfId="5853" priority="679">
      <formula>ISNUMBER(SEARCH("UV",$D31))</formula>
    </cfRule>
  </conditionalFormatting>
  <conditionalFormatting sqref="B42:B44">
    <cfRule type="expression" dxfId="5852" priority="681">
      <formula>$J42&gt;0</formula>
    </cfRule>
  </conditionalFormatting>
  <conditionalFormatting sqref="B45">
    <cfRule type="expression" dxfId="5851" priority="719">
      <formula>$B45&lt;&gt;""</formula>
    </cfRule>
  </conditionalFormatting>
  <conditionalFormatting sqref="B48:B57">
    <cfRule type="expression" dxfId="5850" priority="104">
      <formula>$J48&gt;0</formula>
    </cfRule>
  </conditionalFormatting>
  <conditionalFormatting sqref="B58">
    <cfRule type="expression" dxfId="5849" priority="650">
      <formula>($D48="CANOPY TYPE")</formula>
    </cfRule>
    <cfRule type="expression" dxfId="5848" priority="649">
      <formula>ISNUMBER(SEARCH("UV",$D48))</formula>
    </cfRule>
  </conditionalFormatting>
  <conditionalFormatting sqref="B59:B61">
    <cfRule type="expression" dxfId="5847" priority="526">
      <formula>$J59&gt;0</formula>
    </cfRule>
  </conditionalFormatting>
  <conditionalFormatting sqref="B62">
    <cfRule type="expression" dxfId="5846" priority="718">
      <formula>$B62&lt;&gt;""</formula>
    </cfRule>
  </conditionalFormatting>
  <conditionalFormatting sqref="B65:B74">
    <cfRule type="expression" dxfId="5845" priority="90">
      <formula>$J65&gt;0</formula>
    </cfRule>
  </conditionalFormatting>
  <conditionalFormatting sqref="B75">
    <cfRule type="expression" dxfId="5844" priority="619">
      <formula>($D65="CANOPY TYPE")</formula>
    </cfRule>
    <cfRule type="expression" dxfId="5843" priority="618">
      <formula>ISNUMBER(SEARCH("UV",$D65))</formula>
    </cfRule>
  </conditionalFormatting>
  <conditionalFormatting sqref="B76:B78">
    <cfRule type="expression" dxfId="5842" priority="525">
      <formula>$J76&gt;0</formula>
    </cfRule>
  </conditionalFormatting>
  <conditionalFormatting sqref="B79">
    <cfRule type="expression" dxfId="5841" priority="717">
      <formula>$B79&lt;&gt;""</formula>
    </cfRule>
  </conditionalFormatting>
  <conditionalFormatting sqref="B82:B91">
    <cfRule type="expression" dxfId="5840" priority="76">
      <formula>$J82&gt;0</formula>
    </cfRule>
  </conditionalFormatting>
  <conditionalFormatting sqref="B92">
    <cfRule type="expression" dxfId="5839" priority="586">
      <formula>ISNUMBER(SEARCH("UV",$D82))</formula>
    </cfRule>
    <cfRule type="expression" dxfId="5838" priority="587">
      <formula>($D82="CANOPY TYPE")</formula>
    </cfRule>
  </conditionalFormatting>
  <conditionalFormatting sqref="B93:B95">
    <cfRule type="expression" dxfId="5837" priority="524">
      <formula>$J93&gt;0</formula>
    </cfRule>
  </conditionalFormatting>
  <conditionalFormatting sqref="B96">
    <cfRule type="expression" dxfId="5836" priority="716">
      <formula>$B96&lt;&gt;""</formula>
    </cfRule>
  </conditionalFormatting>
  <conditionalFormatting sqref="B99:B108">
    <cfRule type="expression" dxfId="5835" priority="62">
      <formula>$J99&gt;0</formula>
    </cfRule>
  </conditionalFormatting>
  <conditionalFormatting sqref="B109">
    <cfRule type="expression" dxfId="5834" priority="555">
      <formula>ISNUMBER(SEARCH("UV",$D99))</formula>
    </cfRule>
    <cfRule type="expression" dxfId="5833" priority="556">
      <formula>($D99="CANOPY TYPE")</formula>
    </cfRule>
  </conditionalFormatting>
  <conditionalFormatting sqref="B110:B112 B127:B129 B144:B146 B161:B163 B178:B180">
    <cfRule type="expression" dxfId="5832" priority="523">
      <formula>$J110&gt;0</formula>
    </cfRule>
  </conditionalFormatting>
  <conditionalFormatting sqref="B113">
    <cfRule type="expression" dxfId="5831" priority="360">
      <formula>$B113&lt;&gt;""</formula>
    </cfRule>
  </conditionalFormatting>
  <conditionalFormatting sqref="B116:B125">
    <cfRule type="expression" dxfId="5830" priority="48">
      <formula>$J116&gt;0</formula>
    </cfRule>
  </conditionalFormatting>
  <conditionalFormatting sqref="B126">
    <cfRule type="expression" dxfId="5829" priority="333">
      <formula>($D116="CANOPY TYPE")</formula>
    </cfRule>
    <cfRule type="expression" dxfId="5828" priority="332">
      <formula>ISNUMBER(SEARCH("UV",$D116))</formula>
    </cfRule>
  </conditionalFormatting>
  <conditionalFormatting sqref="B130">
    <cfRule type="expression" dxfId="5827" priority="291">
      <formula>$B130&lt;&gt;""</formula>
    </cfRule>
  </conditionalFormatting>
  <conditionalFormatting sqref="B133:B142">
    <cfRule type="expression" dxfId="5826" priority="34">
      <formula>$J133&gt;0</formula>
    </cfRule>
  </conditionalFormatting>
  <conditionalFormatting sqref="B143">
    <cfRule type="expression" dxfId="5825" priority="263">
      <formula>ISNUMBER(SEARCH("UV",$D133))</formula>
    </cfRule>
    <cfRule type="expression" dxfId="5824" priority="264">
      <formula>($D133="CANOPY TYPE")</formula>
    </cfRule>
  </conditionalFormatting>
  <conditionalFormatting sqref="B147">
    <cfRule type="expression" dxfId="5823" priority="236">
      <formula>$B147&lt;&gt;""</formula>
    </cfRule>
  </conditionalFormatting>
  <conditionalFormatting sqref="B150:B159">
    <cfRule type="expression" dxfId="5822" priority="20">
      <formula>$J150&gt;0</formula>
    </cfRule>
  </conditionalFormatting>
  <conditionalFormatting sqref="B160">
    <cfRule type="expression" dxfId="5821" priority="209">
      <formula>($D150="CANOPY TYPE")</formula>
    </cfRule>
    <cfRule type="expression" dxfId="5820" priority="208">
      <formula>ISNUMBER(SEARCH("UV",$D150))</formula>
    </cfRule>
  </conditionalFormatting>
  <conditionalFormatting sqref="B164">
    <cfRule type="expression" dxfId="5819" priority="181">
      <formula>$B164&lt;&gt;""</formula>
    </cfRule>
  </conditionalFormatting>
  <conditionalFormatting sqref="B167:B176">
    <cfRule type="expression" dxfId="5818" priority="6">
      <formula>$J167&gt;0</formula>
    </cfRule>
  </conditionalFormatting>
  <conditionalFormatting sqref="B177">
    <cfRule type="expression" dxfId="5817" priority="154">
      <formula>($D167="CANOPY TYPE")</formula>
    </cfRule>
    <cfRule type="expression" dxfId="5816" priority="153">
      <formula>ISNUMBER(SEARCH("UV",$D167))</formula>
    </cfRule>
  </conditionalFormatting>
  <conditionalFormatting sqref="B183:B197">
    <cfRule type="expression" dxfId="5815" priority="713">
      <formula>$C183&gt;0</formula>
    </cfRule>
  </conditionalFormatting>
  <conditionalFormatting sqref="C14">
    <cfRule type="containsText" dxfId="5814" priority="513" operator="containsText" text="CONFIG">
      <formula>NOT(ISERROR(SEARCH("CONFIG",C14)))</formula>
    </cfRule>
  </conditionalFormatting>
  <conditionalFormatting sqref="C15">
    <cfRule type="containsText" dxfId="5813" priority="518" operator="containsText" text="LIGHT SELECTION">
      <formula>NOT(ISERROR(SEARCH("LIGHT SELECTION",C15)))</formula>
    </cfRule>
  </conditionalFormatting>
  <conditionalFormatting sqref="C20:C21">
    <cfRule type="cellIs" dxfId="5812" priority="765" operator="lessThan">
      <formula>1</formula>
    </cfRule>
  </conditionalFormatting>
  <conditionalFormatting sqref="C22:C23">
    <cfRule type="expression" dxfId="5811" priority="493">
      <formula>D22="WW PODS"</formula>
    </cfRule>
  </conditionalFormatting>
  <conditionalFormatting sqref="C24">
    <cfRule type="expression" dxfId="5810" priority="782">
      <formula>ISNUMBER(SEARCH("UV",D14))</formula>
    </cfRule>
  </conditionalFormatting>
  <conditionalFormatting sqref="C25">
    <cfRule type="expression" dxfId="5809" priority="747">
      <formula>(ISNUMBER(SEARCH("CMW",D14)))=TRUE</formula>
    </cfRule>
  </conditionalFormatting>
  <conditionalFormatting sqref="C26">
    <cfRule type="expression" dxfId="5808" priority="746">
      <formula>(ISNUMBER(SEARCH("CMW",D14)))=TRUE</formula>
    </cfRule>
  </conditionalFormatting>
  <conditionalFormatting sqref="C27">
    <cfRule type="expression" dxfId="5807" priority="715">
      <formula>(ISNUMBER(SEARCH("CMW",$D14)))=TRUE</formula>
    </cfRule>
  </conditionalFormatting>
  <conditionalFormatting sqref="C31">
    <cfRule type="containsText" dxfId="5806" priority="690" operator="containsText" text="CONFIG">
      <formula>NOT(ISERROR(SEARCH("CONFIG",C31)))</formula>
    </cfRule>
  </conditionalFormatting>
  <conditionalFormatting sqref="C32">
    <cfRule type="containsText" dxfId="5805" priority="520" operator="containsText" text="LIGHT SELECTION">
      <formula>NOT(ISERROR(SEARCH("LIGHT SELECTION",C32)))</formula>
    </cfRule>
  </conditionalFormatting>
  <conditionalFormatting sqref="C37:C38">
    <cfRule type="cellIs" dxfId="5804" priority="689" operator="lessThan">
      <formula>1</formula>
    </cfRule>
  </conditionalFormatting>
  <conditionalFormatting sqref="C39:C40">
    <cfRule type="expression" dxfId="5803" priority="471">
      <formula>D39="WW PODS"</formula>
    </cfRule>
  </conditionalFormatting>
  <conditionalFormatting sqref="C41">
    <cfRule type="expression" dxfId="5802" priority="704">
      <formula>ISNUMBER(SEARCH("UV",D31))</formula>
    </cfRule>
  </conditionalFormatting>
  <conditionalFormatting sqref="C42">
    <cfRule type="expression" dxfId="5801" priority="687">
      <formula>(ISNUMBER(SEARCH("CMW",D31)))=TRUE</formula>
    </cfRule>
  </conditionalFormatting>
  <conditionalFormatting sqref="C43">
    <cfRule type="expression" dxfId="5800" priority="552">
      <formula>(ISNUMBER(SEARCH("CMW",D31)))=TRUE</formula>
    </cfRule>
  </conditionalFormatting>
  <conditionalFormatting sqref="C44">
    <cfRule type="expression" dxfId="5799" priority="682">
      <formula>(ISNUMBER(SEARCH("CMW",$D31)))=TRUE</formula>
    </cfRule>
  </conditionalFormatting>
  <conditionalFormatting sqref="C48">
    <cfRule type="containsText" dxfId="5798" priority="659" operator="containsText" text="CONFIG">
      <formula>NOT(ISERROR(SEARCH("CONFIG",C48)))</formula>
    </cfRule>
  </conditionalFormatting>
  <conditionalFormatting sqref="C49">
    <cfRule type="containsText" dxfId="5797" priority="517" operator="containsText" text="LIGHT SELECTION">
      <formula>NOT(ISERROR(SEARCH("LIGHT SELECTION",C49)))</formula>
    </cfRule>
  </conditionalFormatting>
  <conditionalFormatting sqref="C54:C55">
    <cfRule type="cellIs" dxfId="5796" priority="658" operator="lessThan">
      <formula>1</formula>
    </cfRule>
  </conditionalFormatting>
  <conditionalFormatting sqref="C56:C57">
    <cfRule type="expression" dxfId="5795" priority="445">
      <formula>D56="WW PODS"</formula>
    </cfRule>
  </conditionalFormatting>
  <conditionalFormatting sqref="C58">
    <cfRule type="expression" dxfId="5794" priority="672">
      <formula>ISNUMBER(SEARCH("UV",D48))</formula>
    </cfRule>
  </conditionalFormatting>
  <conditionalFormatting sqref="C59">
    <cfRule type="expression" dxfId="5793" priority="656">
      <formula>(ISNUMBER(SEARCH("CMW",D48)))=TRUE</formula>
    </cfRule>
  </conditionalFormatting>
  <conditionalFormatting sqref="C60">
    <cfRule type="expression" dxfId="5792" priority="551">
      <formula>(ISNUMBER(SEARCH("CMW",D48)))=TRUE</formula>
    </cfRule>
  </conditionalFormatting>
  <conditionalFormatting sqref="C61">
    <cfRule type="expression" dxfId="5791" priority="651">
      <formula>(ISNUMBER(SEARCH("CMW",$D48)))=TRUE</formula>
    </cfRule>
  </conditionalFormatting>
  <conditionalFormatting sqref="C65">
    <cfRule type="containsText" dxfId="5790" priority="629" operator="containsText" text="CONFIG">
      <formula>NOT(ISERROR(SEARCH("CONFIG",C65)))</formula>
    </cfRule>
  </conditionalFormatting>
  <conditionalFormatting sqref="C66">
    <cfRule type="containsText" dxfId="5789" priority="516" operator="containsText" text="LIGHT SELECTION">
      <formula>NOT(ISERROR(SEARCH("LIGHT SELECTION",C66)))</formula>
    </cfRule>
  </conditionalFormatting>
  <conditionalFormatting sqref="C71:C72">
    <cfRule type="cellIs" dxfId="5788" priority="628" operator="lessThan">
      <formula>1</formula>
    </cfRule>
  </conditionalFormatting>
  <conditionalFormatting sqref="C73:C74">
    <cfRule type="expression" dxfId="5787" priority="419">
      <formula>D73="WW PODS"</formula>
    </cfRule>
  </conditionalFormatting>
  <conditionalFormatting sqref="C75">
    <cfRule type="expression" dxfId="5786" priority="642">
      <formula>ISNUMBER(SEARCH("UV",D65))</formula>
    </cfRule>
  </conditionalFormatting>
  <conditionalFormatting sqref="C76">
    <cfRule type="expression" dxfId="5785" priority="625">
      <formula>(ISNUMBER(SEARCH("CMW",D65)))=TRUE</formula>
    </cfRule>
  </conditionalFormatting>
  <conditionalFormatting sqref="C77">
    <cfRule type="expression" dxfId="5784" priority="550">
      <formula>(ISNUMBER(SEARCH("CMW",D65)))=TRUE</formula>
    </cfRule>
  </conditionalFormatting>
  <conditionalFormatting sqref="C78">
    <cfRule type="expression" dxfId="5783" priority="620">
      <formula>(ISNUMBER(SEARCH("CMW",$D65)))=TRUE</formula>
    </cfRule>
  </conditionalFormatting>
  <conditionalFormatting sqref="C82">
    <cfRule type="containsText" dxfId="5782" priority="597" operator="containsText" text="CONFIG">
      <formula>NOT(ISERROR(SEARCH("CONFIG",C82)))</formula>
    </cfRule>
  </conditionalFormatting>
  <conditionalFormatting sqref="C83">
    <cfRule type="containsText" dxfId="5781" priority="515" operator="containsText" text="LIGHT SELECTION">
      <formula>NOT(ISERROR(SEARCH("LIGHT SELECTION",C83)))</formula>
    </cfRule>
  </conditionalFormatting>
  <conditionalFormatting sqref="C88:C89">
    <cfRule type="cellIs" dxfId="5780" priority="596" operator="lessThan">
      <formula>1</formula>
    </cfRule>
  </conditionalFormatting>
  <conditionalFormatting sqref="C90:C91">
    <cfRule type="expression" dxfId="5779" priority="393">
      <formula>D90="WW PODS"</formula>
    </cfRule>
  </conditionalFormatting>
  <conditionalFormatting sqref="C92">
    <cfRule type="expression" dxfId="5778" priority="611">
      <formula>ISNUMBER(SEARCH("UV",D82))</formula>
    </cfRule>
  </conditionalFormatting>
  <conditionalFormatting sqref="C93">
    <cfRule type="expression" dxfId="5777" priority="593">
      <formula>(ISNUMBER(SEARCH("CMW",D82)))=TRUE</formula>
    </cfRule>
  </conditionalFormatting>
  <conditionalFormatting sqref="C94">
    <cfRule type="expression" dxfId="5776" priority="549">
      <formula>(ISNUMBER(SEARCH("CMW",D82)))=TRUE</formula>
    </cfRule>
  </conditionalFormatting>
  <conditionalFormatting sqref="C95">
    <cfRule type="expression" dxfId="5775" priority="588">
      <formula>(ISNUMBER(SEARCH("CMW",$D82)))=TRUE</formula>
    </cfRule>
  </conditionalFormatting>
  <conditionalFormatting sqref="C99">
    <cfRule type="containsText" dxfId="5774" priority="565" operator="containsText" text="CONFIG">
      <formula>NOT(ISERROR(SEARCH("CONFIG",C99)))</formula>
    </cfRule>
  </conditionalFormatting>
  <conditionalFormatting sqref="C100">
    <cfRule type="containsText" dxfId="5773" priority="514" operator="containsText" text="LIGHT SELECTION">
      <formula>NOT(ISERROR(SEARCH("LIGHT SELECTION",C100)))</formula>
    </cfRule>
  </conditionalFormatting>
  <conditionalFormatting sqref="C105:C106">
    <cfRule type="cellIs" dxfId="5772" priority="564" operator="lessThan">
      <formula>1</formula>
    </cfRule>
  </conditionalFormatting>
  <conditionalFormatting sqref="C107:C108">
    <cfRule type="expression" dxfId="5771" priority="367">
      <formula>D107="WW PODS"</formula>
    </cfRule>
  </conditionalFormatting>
  <conditionalFormatting sqref="C109">
    <cfRule type="expression" dxfId="5770" priority="579">
      <formula>ISNUMBER(SEARCH("UV",D99))</formula>
    </cfRule>
  </conditionalFormatting>
  <conditionalFormatting sqref="C110">
    <cfRule type="expression" dxfId="5769" priority="562">
      <formula>(ISNUMBER(SEARCH("CMW",D99)))=TRUE</formula>
    </cfRule>
  </conditionalFormatting>
  <conditionalFormatting sqref="C111">
    <cfRule type="expression" dxfId="5768" priority="548">
      <formula>(ISNUMBER(SEARCH("CMW",D99)))=TRUE</formula>
    </cfRule>
  </conditionalFormatting>
  <conditionalFormatting sqref="C112 C129 C146 C163 C180">
    <cfRule type="expression" dxfId="5767" priority="557">
      <formula>(ISNUMBER(SEARCH("CMW",$D99)))=TRUE</formula>
    </cfRule>
  </conditionalFormatting>
  <conditionalFormatting sqref="C116">
    <cfRule type="containsText" dxfId="5766" priority="341" operator="containsText" text="CONFIG">
      <formula>NOT(ISERROR(SEARCH("CONFIG",C116)))</formula>
    </cfRule>
  </conditionalFormatting>
  <conditionalFormatting sqref="C117">
    <cfRule type="containsText" dxfId="5765" priority="325" operator="containsText" text="LIGHT SELECTION">
      <formula>NOT(ISERROR(SEARCH("LIGHT SELECTION",C117)))</formula>
    </cfRule>
  </conditionalFormatting>
  <conditionalFormatting sqref="C122:C123">
    <cfRule type="cellIs" dxfId="5764" priority="340" operator="lessThan">
      <formula>1</formula>
    </cfRule>
  </conditionalFormatting>
  <conditionalFormatting sqref="C124:C125">
    <cfRule type="expression" dxfId="5763" priority="302">
      <formula>D124="WW PODS"</formula>
    </cfRule>
  </conditionalFormatting>
  <conditionalFormatting sqref="C126">
    <cfRule type="expression" dxfId="5762" priority="355">
      <formula>ISNUMBER(SEARCH("UV",D116))</formula>
    </cfRule>
  </conditionalFormatting>
  <conditionalFormatting sqref="C127">
    <cfRule type="expression" dxfId="5761" priority="338">
      <formula>(ISNUMBER(SEARCH("CMW",D116)))=TRUE</formula>
    </cfRule>
  </conditionalFormatting>
  <conditionalFormatting sqref="C128">
    <cfRule type="expression" dxfId="5760" priority="330">
      <formula>(ISNUMBER(SEARCH("CMW",D116)))=TRUE</formula>
    </cfRule>
  </conditionalFormatting>
  <conditionalFormatting sqref="C133">
    <cfRule type="containsText" dxfId="5759" priority="272" operator="containsText" text="CONFIG">
      <formula>NOT(ISERROR(SEARCH("CONFIG",C133)))</formula>
    </cfRule>
  </conditionalFormatting>
  <conditionalFormatting sqref="C134">
    <cfRule type="containsText" dxfId="5758" priority="256" operator="containsText" text="LIGHT SELECTION">
      <formula>NOT(ISERROR(SEARCH("LIGHT SELECTION",C134)))</formula>
    </cfRule>
  </conditionalFormatting>
  <conditionalFormatting sqref="C139:C140">
    <cfRule type="cellIs" dxfId="5757" priority="271" operator="lessThan">
      <formula>1</formula>
    </cfRule>
  </conditionalFormatting>
  <conditionalFormatting sqref="C141:C142">
    <cfRule type="expression" dxfId="5756" priority="239">
      <formula>D141="WW PODS"</formula>
    </cfRule>
  </conditionalFormatting>
  <conditionalFormatting sqref="C143">
    <cfRule type="expression" dxfId="5755" priority="286">
      <formula>ISNUMBER(SEARCH("UV",D133))</formula>
    </cfRule>
  </conditionalFormatting>
  <conditionalFormatting sqref="C144">
    <cfRule type="expression" dxfId="5754" priority="269">
      <formula>(ISNUMBER(SEARCH("CMW",D133)))=TRUE</formula>
    </cfRule>
  </conditionalFormatting>
  <conditionalFormatting sqref="C145">
    <cfRule type="expression" dxfId="5753" priority="261">
      <formula>(ISNUMBER(SEARCH("CMW",D133)))=TRUE</formula>
    </cfRule>
  </conditionalFormatting>
  <conditionalFormatting sqref="C150">
    <cfRule type="containsText" dxfId="5752" priority="217" operator="containsText" text="CONFIG">
      <formula>NOT(ISERROR(SEARCH("CONFIG",C150)))</formula>
    </cfRule>
  </conditionalFormatting>
  <conditionalFormatting sqref="C151">
    <cfRule type="containsText" dxfId="5751" priority="201" operator="containsText" text="LIGHT SELECTION">
      <formula>NOT(ISERROR(SEARCH("LIGHT SELECTION",C151)))</formula>
    </cfRule>
  </conditionalFormatting>
  <conditionalFormatting sqref="C156:C157">
    <cfRule type="cellIs" dxfId="5750" priority="216" operator="lessThan">
      <formula>1</formula>
    </cfRule>
  </conditionalFormatting>
  <conditionalFormatting sqref="C158:C159">
    <cfRule type="expression" dxfId="5749" priority="184">
      <formula>D158="WW PODS"</formula>
    </cfRule>
  </conditionalFormatting>
  <conditionalFormatting sqref="C160">
    <cfRule type="expression" dxfId="5748" priority="231">
      <formula>ISNUMBER(SEARCH("UV",D150))</formula>
    </cfRule>
  </conditionalFormatting>
  <conditionalFormatting sqref="C161">
    <cfRule type="expression" dxfId="5747" priority="214">
      <formula>(ISNUMBER(SEARCH("CMW",D150)))=TRUE</formula>
    </cfRule>
  </conditionalFormatting>
  <conditionalFormatting sqref="C162">
    <cfRule type="expression" dxfId="5746" priority="206">
      <formula>(ISNUMBER(SEARCH("CMW",D150)))=TRUE</formula>
    </cfRule>
  </conditionalFormatting>
  <conditionalFormatting sqref="C167">
    <cfRule type="containsText" dxfId="5745" priority="162" operator="containsText" text="CONFIG">
      <formula>NOT(ISERROR(SEARCH("CONFIG",C167)))</formula>
    </cfRule>
  </conditionalFormatting>
  <conditionalFormatting sqref="C168">
    <cfRule type="containsText" dxfId="5744" priority="146" operator="containsText" text="LIGHT SELECTION">
      <formula>NOT(ISERROR(SEARCH("LIGHT SELECTION",C168)))</formula>
    </cfRule>
  </conditionalFormatting>
  <conditionalFormatting sqref="C173:C174">
    <cfRule type="cellIs" dxfId="5743" priority="161" operator="lessThan">
      <formula>1</formula>
    </cfRule>
  </conditionalFormatting>
  <conditionalFormatting sqref="C175:C176">
    <cfRule type="expression" dxfId="5742" priority="129">
      <formula>D175="WW PODS"</formula>
    </cfRule>
  </conditionalFormatting>
  <conditionalFormatting sqref="C177">
    <cfRule type="expression" dxfId="5741" priority="176">
      <formula>ISNUMBER(SEARCH("UV",D167))</formula>
    </cfRule>
  </conditionalFormatting>
  <conditionalFormatting sqref="C178">
    <cfRule type="expression" dxfId="5740" priority="159">
      <formula>(ISNUMBER(SEARCH("CMW",D167)))=TRUE</formula>
    </cfRule>
  </conditionalFormatting>
  <conditionalFormatting sqref="C179">
    <cfRule type="expression" dxfId="5739" priority="151">
      <formula>(ISNUMBER(SEARCH("CMW",D167)))=TRUE</formula>
    </cfRule>
  </conditionalFormatting>
  <conditionalFormatting sqref="C183:C184">
    <cfRule type="cellIs" dxfId="5738" priority="767" operator="lessThan">
      <formula>1</formula>
    </cfRule>
  </conditionalFormatting>
  <conditionalFormatting sqref="C185">
    <cfRule type="cellIs" dxfId="5737" priority="756" operator="lessThan">
      <formula>1</formula>
    </cfRule>
  </conditionalFormatting>
  <conditionalFormatting sqref="C186:C197">
    <cfRule type="cellIs" dxfId="5736" priority="296" operator="lessThan">
      <formula>1</formula>
    </cfRule>
  </conditionalFormatting>
  <conditionalFormatting sqref="C9:D9">
    <cfRule type="cellIs" dxfId="5735" priority="757" operator="lessThan">
      <formula>0</formula>
    </cfRule>
    <cfRule type="cellIs" dxfId="5734" priority="758" operator="greaterThan">
      <formula>0</formula>
    </cfRule>
  </conditionalFormatting>
  <conditionalFormatting sqref="D14">
    <cfRule type="containsText" dxfId="5733" priority="768" operator="containsText" text="CANOPY TYPE">
      <formula>NOT(ISERROR(SEARCH("CANOPY TYPE",D14)))</formula>
    </cfRule>
  </conditionalFormatting>
  <conditionalFormatting sqref="D15">
    <cfRule type="expression" dxfId="5732" priority="509">
      <formula>(C15="LIGHT SELECTION")</formula>
    </cfRule>
  </conditionalFormatting>
  <conditionalFormatting sqref="D16:D18">
    <cfRule type="expression" dxfId="5731" priority="723">
      <formula>($C16="SELECT WORKS")</formula>
    </cfRule>
  </conditionalFormatting>
  <conditionalFormatting sqref="D19">
    <cfRule type="expression" dxfId="5730" priority="295">
      <formula>$C19="SELECT CLADDING"</formula>
    </cfRule>
  </conditionalFormatting>
  <conditionalFormatting sqref="D22:D23">
    <cfRule type="expression" dxfId="5729" priority="492">
      <formula>($D$14="CANOPY TYPE")</formula>
    </cfRule>
  </conditionalFormatting>
  <conditionalFormatting sqref="D24">
    <cfRule type="expression" dxfId="5728" priority="781">
      <formula>ISNUMBER(SEARCH("UV",D14))</formula>
    </cfRule>
  </conditionalFormatting>
  <conditionalFormatting sqref="D25">
    <cfRule type="expression" dxfId="5727" priority="709">
      <formula>($D$14="CANOPY TYPE")</formula>
    </cfRule>
  </conditionalFormatting>
  <conditionalFormatting sqref="D26">
    <cfRule type="expression" dxfId="5726" priority="731">
      <formula>(ISNUMBER(SEARCH("CMW",D14)))=TRUE</formula>
    </cfRule>
  </conditionalFormatting>
  <conditionalFormatting sqref="D31">
    <cfRule type="containsText" dxfId="5725" priority="691" operator="containsText" text="CANOPY TYPE">
      <formula>NOT(ISERROR(SEARCH("CANOPY TYPE",D31)))</formula>
    </cfRule>
  </conditionalFormatting>
  <conditionalFormatting sqref="D32">
    <cfRule type="expression" dxfId="5724" priority="522">
      <formula>(C32="LIGHT SELECTION")</formula>
    </cfRule>
  </conditionalFormatting>
  <conditionalFormatting sqref="D33:D35">
    <cfRule type="expression" dxfId="5723" priority="119">
      <formula>($C33="SELECT WORKS")</formula>
    </cfRule>
  </conditionalFormatting>
  <conditionalFormatting sqref="D36">
    <cfRule type="expression" dxfId="5722" priority="501">
      <formula>$C36="SELECT CLADDING"</formula>
    </cfRule>
  </conditionalFormatting>
  <conditionalFormatting sqref="D39:D40">
    <cfRule type="expression" dxfId="5721" priority="466">
      <formula>($D$14="CANOPY TYPE")</formula>
    </cfRule>
  </conditionalFormatting>
  <conditionalFormatting sqref="D41">
    <cfRule type="expression" dxfId="5720" priority="703">
      <formula>ISNUMBER(SEARCH("UV",D31))</formula>
    </cfRule>
  </conditionalFormatting>
  <conditionalFormatting sqref="D42">
    <cfRule type="expression" dxfId="5719" priority="677">
      <formula>($D$14="CANOPY TYPE")</formula>
    </cfRule>
  </conditionalFormatting>
  <conditionalFormatting sqref="D43">
    <cfRule type="expression" dxfId="5718" priority="686">
      <formula>(ISNUMBER(SEARCH("CMW",D31)))=TRUE</formula>
    </cfRule>
  </conditionalFormatting>
  <conditionalFormatting sqref="D48">
    <cfRule type="containsText" dxfId="5717" priority="504" operator="containsText" text="CANOPY TYPE">
      <formula>NOT(ISERROR(SEARCH("CANOPY TYPE",D48)))</formula>
    </cfRule>
  </conditionalFormatting>
  <conditionalFormatting sqref="D49">
    <cfRule type="expression" dxfId="5716" priority="519">
      <formula>(C15="LIGHT SELECTION")</formula>
    </cfRule>
  </conditionalFormatting>
  <conditionalFormatting sqref="D50:D52">
    <cfRule type="expression" dxfId="5715" priority="105">
      <formula>($C50="SELECT WORKS")</formula>
    </cfRule>
  </conditionalFormatting>
  <conditionalFormatting sqref="D53">
    <cfRule type="expression" dxfId="5714" priority="502">
      <formula>$C53="SELECT CLADDING"</formula>
    </cfRule>
  </conditionalFormatting>
  <conditionalFormatting sqref="D56:D57">
    <cfRule type="expression" dxfId="5713" priority="440">
      <formula>($D$14="CANOPY TYPE")</formula>
    </cfRule>
  </conditionalFormatting>
  <conditionalFormatting sqref="D58">
    <cfRule type="expression" dxfId="5712" priority="671">
      <formula>ISNUMBER(SEARCH("UV",D48))</formula>
    </cfRule>
  </conditionalFormatting>
  <conditionalFormatting sqref="D59">
    <cfRule type="expression" dxfId="5711" priority="647">
      <formula>($D$14="CANOPY TYPE")</formula>
    </cfRule>
  </conditionalFormatting>
  <conditionalFormatting sqref="D60">
    <cfRule type="expression" dxfId="5710" priority="655">
      <formula>(ISNUMBER(SEARCH("CMW",D48)))=TRUE</formula>
    </cfRule>
  </conditionalFormatting>
  <conditionalFormatting sqref="D65">
    <cfRule type="containsText" dxfId="5709" priority="503" operator="containsText" text="CANOPY TYPE">
      <formula>NOT(ISERROR(SEARCH("CANOPY TYPE",D65)))</formula>
    </cfRule>
  </conditionalFormatting>
  <conditionalFormatting sqref="D66">
    <cfRule type="expression" dxfId="5708" priority="512">
      <formula>(C66="LIGHT SELECTION")</formula>
    </cfRule>
  </conditionalFormatting>
  <conditionalFormatting sqref="D67:D69">
    <cfRule type="expression" dxfId="5707" priority="91">
      <formula>($C67="SELECT WORKS")</formula>
    </cfRule>
  </conditionalFormatting>
  <conditionalFormatting sqref="D70">
    <cfRule type="expression" dxfId="5706" priority="626">
      <formula>$C70="SELECT CLADDING"</formula>
    </cfRule>
  </conditionalFormatting>
  <conditionalFormatting sqref="D73:D74">
    <cfRule type="expression" dxfId="5705" priority="414">
      <formula>($D$14="CANOPY TYPE")</formula>
    </cfRule>
  </conditionalFormatting>
  <conditionalFormatting sqref="D75">
    <cfRule type="expression" dxfId="5704" priority="641">
      <formula>ISNUMBER(SEARCH("UV",D65))</formula>
    </cfRule>
  </conditionalFormatting>
  <conditionalFormatting sqref="D76">
    <cfRule type="expression" dxfId="5703" priority="616">
      <formula>($D$14="CANOPY TYPE")</formula>
    </cfRule>
  </conditionalFormatting>
  <conditionalFormatting sqref="D77">
    <cfRule type="expression" dxfId="5702" priority="624">
      <formula>(ISNUMBER(SEARCH("CMW",D65)))=TRUE</formula>
    </cfRule>
  </conditionalFormatting>
  <conditionalFormatting sqref="D82">
    <cfRule type="containsText" dxfId="5701" priority="598" operator="containsText" text="CANOPY TYPE">
      <formula>NOT(ISERROR(SEARCH("CANOPY TYPE",D82)))</formula>
    </cfRule>
  </conditionalFormatting>
  <conditionalFormatting sqref="D83">
    <cfRule type="expression" dxfId="5700" priority="511">
      <formula>(C83="LIGHT SELECTION")</formula>
    </cfRule>
  </conditionalFormatting>
  <conditionalFormatting sqref="D84:D86">
    <cfRule type="expression" dxfId="5699" priority="77">
      <formula>($C84="SELECT WORKS")</formula>
    </cfRule>
  </conditionalFormatting>
  <conditionalFormatting sqref="D87">
    <cfRule type="expression" dxfId="5698" priority="594">
      <formula>$C87="SELECT CLADDING"</formula>
    </cfRule>
  </conditionalFormatting>
  <conditionalFormatting sqref="D90:D91">
    <cfRule type="expression" dxfId="5697" priority="388">
      <formula>($D$14="CANOPY TYPE")</formula>
    </cfRule>
  </conditionalFormatting>
  <conditionalFormatting sqref="D92">
    <cfRule type="expression" dxfId="5696" priority="610">
      <formula>ISNUMBER(SEARCH("UV",D82))</formula>
    </cfRule>
  </conditionalFormatting>
  <conditionalFormatting sqref="D93">
    <cfRule type="expression" dxfId="5695" priority="584">
      <formula>($D$14="CANOPY TYPE")</formula>
    </cfRule>
  </conditionalFormatting>
  <conditionalFormatting sqref="D94">
    <cfRule type="expression" dxfId="5694" priority="592">
      <formula>(ISNUMBER(SEARCH("CMW",D82)))=TRUE</formula>
    </cfRule>
  </conditionalFormatting>
  <conditionalFormatting sqref="D99">
    <cfRule type="containsText" dxfId="5693" priority="566" operator="containsText" text="CANOPY TYPE">
      <formula>NOT(ISERROR(SEARCH("CANOPY TYPE",D99)))</formula>
    </cfRule>
  </conditionalFormatting>
  <conditionalFormatting sqref="D100">
    <cfRule type="expression" dxfId="5692" priority="510">
      <formula>(C100="LIGHT SELECTION")</formula>
    </cfRule>
  </conditionalFormatting>
  <conditionalFormatting sqref="D101:D103">
    <cfRule type="expression" dxfId="5691" priority="63">
      <formula>($C101="SELECT WORKS")</formula>
    </cfRule>
  </conditionalFormatting>
  <conditionalFormatting sqref="D104">
    <cfRule type="expression" dxfId="5690" priority="500">
      <formula>$C104="SELECT CLADDING"</formula>
    </cfRule>
  </conditionalFormatting>
  <conditionalFormatting sqref="D107:D108">
    <cfRule type="expression" dxfId="5689" priority="362">
      <formula>($D$14="CANOPY TYPE")</formula>
    </cfRule>
  </conditionalFormatting>
  <conditionalFormatting sqref="D109">
    <cfRule type="expression" dxfId="5688" priority="578">
      <formula>ISNUMBER(SEARCH("UV",D99))</formula>
    </cfRule>
  </conditionalFormatting>
  <conditionalFormatting sqref="D110">
    <cfRule type="expression" dxfId="5687" priority="553">
      <formula>($D$14="CANOPY TYPE")</formula>
    </cfRule>
  </conditionalFormatting>
  <conditionalFormatting sqref="D111">
    <cfRule type="expression" dxfId="5686" priority="561">
      <formula>(ISNUMBER(SEARCH("CMW",D99)))=TRUE</formula>
    </cfRule>
  </conditionalFormatting>
  <conditionalFormatting sqref="D116">
    <cfRule type="containsText" dxfId="5685" priority="342" operator="containsText" text="CANOPY TYPE">
      <formula>NOT(ISERROR(SEARCH("CANOPY TYPE",D116)))</formula>
    </cfRule>
  </conditionalFormatting>
  <conditionalFormatting sqref="D117">
    <cfRule type="expression" dxfId="5684" priority="324">
      <formula>(C117="LIGHT SELECTION")</formula>
    </cfRule>
  </conditionalFormatting>
  <conditionalFormatting sqref="D118:D120">
    <cfRule type="expression" dxfId="5683" priority="49">
      <formula>($C118="SELECT WORKS")</formula>
    </cfRule>
  </conditionalFormatting>
  <conditionalFormatting sqref="D121">
    <cfRule type="expression" dxfId="5682" priority="323">
      <formula>$C121="SELECT CLADDING"</formula>
    </cfRule>
  </conditionalFormatting>
  <conditionalFormatting sqref="D124:D125">
    <cfRule type="expression" dxfId="5681" priority="297">
      <formula>($D$14="CANOPY TYPE")</formula>
    </cfRule>
  </conditionalFormatting>
  <conditionalFormatting sqref="D126">
    <cfRule type="expression" dxfId="5680" priority="354">
      <formula>ISNUMBER(SEARCH("UV",D116))</formula>
    </cfRule>
  </conditionalFormatting>
  <conditionalFormatting sqref="D127">
    <cfRule type="expression" dxfId="5679" priority="331">
      <formula>($D$14="CANOPY TYPE")</formula>
    </cfRule>
  </conditionalFormatting>
  <conditionalFormatting sqref="D128">
    <cfRule type="expression" dxfId="5678" priority="337">
      <formula>(ISNUMBER(SEARCH("CMW",D116)))=TRUE</formula>
    </cfRule>
  </conditionalFormatting>
  <conditionalFormatting sqref="D133">
    <cfRule type="containsText" dxfId="5677" priority="273" operator="containsText" text="CANOPY TYPE">
      <formula>NOT(ISERROR(SEARCH("CANOPY TYPE",D133)))</formula>
    </cfRule>
  </conditionalFormatting>
  <conditionalFormatting sqref="D134">
    <cfRule type="expression" dxfId="5676" priority="255">
      <formula>(C134="LIGHT SELECTION")</formula>
    </cfRule>
  </conditionalFormatting>
  <conditionalFormatting sqref="D135:D137">
    <cfRule type="expression" dxfId="5675" priority="35">
      <formula>($C135="SELECT WORKS")</formula>
    </cfRule>
  </conditionalFormatting>
  <conditionalFormatting sqref="D138">
    <cfRule type="expression" dxfId="5674" priority="254">
      <formula>$C138="SELECT CLADDING"</formula>
    </cfRule>
  </conditionalFormatting>
  <conditionalFormatting sqref="D141:D142">
    <cfRule type="expression" dxfId="5673" priority="238">
      <formula>($D$14="CANOPY TYPE")</formula>
    </cfRule>
  </conditionalFormatting>
  <conditionalFormatting sqref="D143">
    <cfRule type="expression" dxfId="5672" priority="285">
      <formula>ISNUMBER(SEARCH("UV",D133))</formula>
    </cfRule>
  </conditionalFormatting>
  <conditionalFormatting sqref="D144">
    <cfRule type="expression" dxfId="5671" priority="262">
      <formula>($D$14="CANOPY TYPE")</formula>
    </cfRule>
  </conditionalFormatting>
  <conditionalFormatting sqref="D145">
    <cfRule type="expression" dxfId="5670" priority="268">
      <formula>(ISNUMBER(SEARCH("CMW",D133)))=TRUE</formula>
    </cfRule>
  </conditionalFormatting>
  <conditionalFormatting sqref="D150">
    <cfRule type="containsText" dxfId="5669" priority="218" operator="containsText" text="CANOPY TYPE">
      <formula>NOT(ISERROR(SEARCH("CANOPY TYPE",D150)))</formula>
    </cfRule>
  </conditionalFormatting>
  <conditionalFormatting sqref="D151">
    <cfRule type="expression" dxfId="5668" priority="200">
      <formula>(C151="LIGHT SELECTION")</formula>
    </cfRule>
  </conditionalFormatting>
  <conditionalFormatting sqref="D152:D154">
    <cfRule type="expression" dxfId="5667" priority="21">
      <formula>($C152="SELECT WORKS")</formula>
    </cfRule>
  </conditionalFormatting>
  <conditionalFormatting sqref="D155">
    <cfRule type="expression" dxfId="5666" priority="199">
      <formula>$C155="SELECT CLADDING"</formula>
    </cfRule>
  </conditionalFormatting>
  <conditionalFormatting sqref="D158:D159">
    <cfRule type="expression" dxfId="5665" priority="183">
      <formula>($D$14="CANOPY TYPE")</formula>
    </cfRule>
  </conditionalFormatting>
  <conditionalFormatting sqref="D160">
    <cfRule type="expression" dxfId="5664" priority="230">
      <formula>ISNUMBER(SEARCH("UV",D150))</formula>
    </cfRule>
  </conditionalFormatting>
  <conditionalFormatting sqref="D161">
    <cfRule type="expression" dxfId="5663" priority="207">
      <formula>($D$14="CANOPY TYPE")</formula>
    </cfRule>
  </conditionalFormatting>
  <conditionalFormatting sqref="D162">
    <cfRule type="expression" dxfId="5662" priority="213">
      <formula>(ISNUMBER(SEARCH("CMW",D150)))=TRUE</formula>
    </cfRule>
  </conditionalFormatting>
  <conditionalFormatting sqref="D167">
    <cfRule type="containsText" dxfId="5661" priority="163" operator="containsText" text="CANOPY TYPE">
      <formula>NOT(ISERROR(SEARCH("CANOPY TYPE",D167)))</formula>
    </cfRule>
  </conditionalFormatting>
  <conditionalFormatting sqref="D168">
    <cfRule type="expression" dxfId="5660" priority="145">
      <formula>(C168="LIGHT SELECTION")</formula>
    </cfRule>
  </conditionalFormatting>
  <conditionalFormatting sqref="D169:D171">
    <cfRule type="expression" dxfId="5659" priority="7">
      <formula>($C169="SELECT WORKS")</formula>
    </cfRule>
  </conditionalFormatting>
  <conditionalFormatting sqref="D172">
    <cfRule type="expression" dxfId="5658" priority="144">
      <formula>$C172="SELECT CLADDING"</formula>
    </cfRule>
  </conditionalFormatting>
  <conditionalFormatting sqref="D175:D176">
    <cfRule type="expression" dxfId="5657" priority="128">
      <formula>($D$14="CANOPY TYPE")</formula>
    </cfRule>
  </conditionalFormatting>
  <conditionalFormatting sqref="D177">
    <cfRule type="expression" dxfId="5656" priority="175">
      <formula>ISNUMBER(SEARCH("UV",D167))</formula>
    </cfRule>
  </conditionalFormatting>
  <conditionalFormatting sqref="D178">
    <cfRule type="expression" dxfId="5655" priority="152">
      <formula>($D$14="CANOPY TYPE")</formula>
    </cfRule>
  </conditionalFormatting>
  <conditionalFormatting sqref="D179">
    <cfRule type="expression" dxfId="5654" priority="158">
      <formula>(ISNUMBER(SEARCH("CMW",D167)))=TRUE</formula>
    </cfRule>
  </conditionalFormatting>
  <conditionalFormatting sqref="E12">
    <cfRule type="expression" dxfId="5653" priority="779">
      <formula>ISNUMBER(SEARCH("I-MUAP",$D$14))</formula>
    </cfRule>
    <cfRule type="cellIs" dxfId="5652" priority="780" operator="greaterThan">
      <formula>2000</formula>
    </cfRule>
    <cfRule type="expression" dxfId="5651" priority="778">
      <formula>AND((ISNUMBER(SEARCH("I-MUAP",$D$14))),E12&lt;2500)</formula>
    </cfRule>
  </conditionalFormatting>
  <conditionalFormatting sqref="E15">
    <cfRule type="expression" dxfId="5650" priority="507">
      <formula>(C15="LIGHT SELECTION")</formula>
    </cfRule>
  </conditionalFormatting>
  <conditionalFormatting sqref="E16:E18">
    <cfRule type="expression" dxfId="5649" priority="127">
      <formula>$C16="SELECT WORKS"</formula>
    </cfRule>
  </conditionalFormatting>
  <conditionalFormatting sqref="E22:E23">
    <cfRule type="expression" dxfId="5648" priority="783">
      <formula>(D14="CANOPY TYPE")</formula>
    </cfRule>
    <cfRule type="expression" dxfId="5647" priority="763">
      <formula>D22="KSA"</formula>
    </cfRule>
    <cfRule type="expression" dxfId="5646" priority="761">
      <formula>D22="WW PODS"</formula>
    </cfRule>
    <cfRule type="expression" dxfId="5645" priority="762">
      <formula>D22="FILTER TYPE"</formula>
    </cfRule>
  </conditionalFormatting>
  <conditionalFormatting sqref="E24">
    <cfRule type="containsText" dxfId="5644" priority="770" operator="containsText" text="LONG ">
      <formula>NOT(ISERROR(SEARCH("LONG ",E24)))</formula>
    </cfRule>
  </conditionalFormatting>
  <conditionalFormatting sqref="E29">
    <cfRule type="expression" dxfId="5643" priority="700">
      <formula>AND((ISNUMBER(SEARCH("I-MUAP",$D$14))),E29&lt;2500)</formula>
    </cfRule>
    <cfRule type="expression" dxfId="5642" priority="701">
      <formula>ISNUMBER(SEARCH("I-MUAP",$D$14))</formula>
    </cfRule>
    <cfRule type="cellIs" dxfId="5641" priority="702" operator="greaterThan">
      <formula>2000</formula>
    </cfRule>
  </conditionalFormatting>
  <conditionalFormatting sqref="E33:E34">
    <cfRule type="expression" dxfId="5640" priority="113">
      <formula>$C33="SELECT WORKS"</formula>
    </cfRule>
  </conditionalFormatting>
  <conditionalFormatting sqref="E39:E40">
    <cfRule type="expression" dxfId="5639" priority="482">
      <formula>(D31="CANOPY TYPE")</formula>
    </cfRule>
    <cfRule type="expression" dxfId="5638" priority="479">
      <formula>D39="WW PODS"</formula>
    </cfRule>
    <cfRule type="expression" dxfId="5637" priority="480">
      <formula>D39="FILTER TYPE"</formula>
    </cfRule>
    <cfRule type="expression" dxfId="5636" priority="481">
      <formula>D39="KSA"</formula>
    </cfRule>
  </conditionalFormatting>
  <conditionalFormatting sqref="E41">
    <cfRule type="containsText" dxfId="5635" priority="693" operator="containsText" text="LONG ">
      <formula>NOT(ISERROR(SEARCH("LONG ",E41)))</formula>
    </cfRule>
  </conditionalFormatting>
  <conditionalFormatting sqref="E46">
    <cfRule type="cellIs" dxfId="5634" priority="670" operator="greaterThan">
      <formula>2000</formula>
    </cfRule>
    <cfRule type="expression" dxfId="5633" priority="669">
      <formula>ISNUMBER(SEARCH("I-MUAP",$D$14))</formula>
    </cfRule>
    <cfRule type="expression" dxfId="5632" priority="668">
      <formula>AND((ISNUMBER(SEARCH("I-MUAP",$D$14))),E46&lt;2500)</formula>
    </cfRule>
  </conditionalFormatting>
  <conditionalFormatting sqref="E49">
    <cfRule type="expression" dxfId="5631" priority="521">
      <formula>(C49="LIGHT SELECTION")</formula>
    </cfRule>
  </conditionalFormatting>
  <conditionalFormatting sqref="E50:E52">
    <cfRule type="expression" dxfId="5630" priority="99">
      <formula>$C50="SELECT WORKS"</formula>
    </cfRule>
  </conditionalFormatting>
  <conditionalFormatting sqref="E56:E57">
    <cfRule type="expression" dxfId="5629" priority="453">
      <formula>D56="WW PODS"</formula>
    </cfRule>
    <cfRule type="expression" dxfId="5628" priority="456">
      <formula>(D48="CANOPY TYPE")</formula>
    </cfRule>
    <cfRule type="expression" dxfId="5627" priority="455">
      <formula>D56="KSA"</formula>
    </cfRule>
    <cfRule type="expression" dxfId="5626" priority="454">
      <formula>D56="FILTER TYPE"</formula>
    </cfRule>
  </conditionalFormatting>
  <conditionalFormatting sqref="E58">
    <cfRule type="containsText" dxfId="5625" priority="661" operator="containsText" text="LONG ">
      <formula>NOT(ISERROR(SEARCH("LONG ",E58)))</formula>
    </cfRule>
  </conditionalFormatting>
  <conditionalFormatting sqref="E63">
    <cfRule type="expression" dxfId="5624" priority="638">
      <formula>AND((ISNUMBER(SEARCH("I-MUAP",$D$14))),E63&lt;2500)</formula>
    </cfRule>
    <cfRule type="expression" dxfId="5623" priority="639">
      <formula>ISNUMBER(SEARCH("I-MUAP",$D$14))</formula>
    </cfRule>
    <cfRule type="cellIs" dxfId="5622" priority="640" operator="greaterThan">
      <formula>2000</formula>
    </cfRule>
  </conditionalFormatting>
  <conditionalFormatting sqref="E67:E69">
    <cfRule type="expression" dxfId="5621" priority="85">
      <formula>$C67="SELECT WORKS"</formula>
    </cfRule>
  </conditionalFormatting>
  <conditionalFormatting sqref="E73:E74">
    <cfRule type="expression" dxfId="5620" priority="429">
      <formula>D73="KSA"</formula>
    </cfRule>
    <cfRule type="expression" dxfId="5619" priority="428">
      <formula>D73="FILTER TYPE"</formula>
    </cfRule>
    <cfRule type="expression" dxfId="5618" priority="427">
      <formula>D73="WW PODS"</formula>
    </cfRule>
    <cfRule type="expression" dxfId="5617" priority="430">
      <formula>(D65="CANOPY TYPE")</formula>
    </cfRule>
  </conditionalFormatting>
  <conditionalFormatting sqref="E75">
    <cfRule type="containsText" dxfId="5616" priority="631" operator="containsText" text="LONG ">
      <formula>NOT(ISERROR(SEARCH("LONG ",E75)))</formula>
    </cfRule>
  </conditionalFormatting>
  <conditionalFormatting sqref="E80">
    <cfRule type="expression" dxfId="5615" priority="608">
      <formula>ISNUMBER(SEARCH("I-MUAP",$D$14))</formula>
    </cfRule>
    <cfRule type="cellIs" dxfId="5614" priority="609" operator="greaterThan">
      <formula>2000</formula>
    </cfRule>
    <cfRule type="expression" dxfId="5613" priority="607">
      <formula>AND((ISNUMBER(SEARCH("I-MUAP",$D$14))),E80&lt;2500)</formula>
    </cfRule>
  </conditionalFormatting>
  <conditionalFormatting sqref="E84:E86">
    <cfRule type="expression" dxfId="5612" priority="71">
      <formula>$C84="SELECT WORKS"</formula>
    </cfRule>
  </conditionalFormatting>
  <conditionalFormatting sqref="E90:E91">
    <cfRule type="expression" dxfId="5611" priority="401">
      <formula>D90="WW PODS"</formula>
    </cfRule>
    <cfRule type="expression" dxfId="5610" priority="403">
      <formula>D90="KSA"</formula>
    </cfRule>
    <cfRule type="expression" dxfId="5609" priority="402">
      <formula>D90="FILTER TYPE"</formula>
    </cfRule>
    <cfRule type="expression" dxfId="5608" priority="404">
      <formula>(D82="CANOPY TYPE")</formula>
    </cfRule>
  </conditionalFormatting>
  <conditionalFormatting sqref="E92">
    <cfRule type="containsText" dxfId="5607" priority="600" operator="containsText" text="LONG ">
      <formula>NOT(ISERROR(SEARCH("LONG ",E92)))</formula>
    </cfRule>
  </conditionalFormatting>
  <conditionalFormatting sqref="E97">
    <cfRule type="cellIs" dxfId="5606" priority="577" operator="greaterThan">
      <formula>2000</formula>
    </cfRule>
    <cfRule type="expression" dxfId="5605" priority="576">
      <formula>ISNUMBER(SEARCH("I-MUAP",$D$14))</formula>
    </cfRule>
    <cfRule type="expression" dxfId="5604" priority="575">
      <formula>AND((ISNUMBER(SEARCH("I-MUAP",$D$14))),E97&lt;2500)</formula>
    </cfRule>
  </conditionalFormatting>
  <conditionalFormatting sqref="E101:E103">
    <cfRule type="expression" dxfId="5603" priority="57">
      <formula>$C101="SELECT WORKS"</formula>
    </cfRule>
  </conditionalFormatting>
  <conditionalFormatting sqref="E107:E108">
    <cfRule type="expression" dxfId="5602" priority="378">
      <formula>(D99="CANOPY TYPE")</formula>
    </cfRule>
    <cfRule type="expression" dxfId="5601" priority="375">
      <formula>D107="WW PODS"</formula>
    </cfRule>
    <cfRule type="expression" dxfId="5600" priority="377">
      <formula>D107="KSA"</formula>
    </cfRule>
    <cfRule type="expression" dxfId="5599" priority="376">
      <formula>D107="FILTER TYPE"</formula>
    </cfRule>
  </conditionalFormatting>
  <conditionalFormatting sqref="E109">
    <cfRule type="containsText" dxfId="5598" priority="568" operator="containsText" text="LONG ">
      <formula>NOT(ISERROR(SEARCH("LONG ",E109)))</formula>
    </cfRule>
  </conditionalFormatting>
  <conditionalFormatting sqref="E114">
    <cfRule type="expression" dxfId="5597" priority="351">
      <formula>AND((ISNUMBER(SEARCH("I-MUAP",$D$14))),E114&lt;2500)</formula>
    </cfRule>
    <cfRule type="expression" dxfId="5596" priority="352">
      <formula>ISNUMBER(SEARCH("I-MUAP",$D$14))</formula>
    </cfRule>
    <cfRule type="cellIs" dxfId="5595" priority="353" operator="greaterThan">
      <formula>2000</formula>
    </cfRule>
  </conditionalFormatting>
  <conditionalFormatting sqref="E118:E120">
    <cfRule type="expression" dxfId="5594" priority="43">
      <formula>$C118="SELECT WORKS"</formula>
    </cfRule>
  </conditionalFormatting>
  <conditionalFormatting sqref="E124:E125">
    <cfRule type="expression" dxfId="5593" priority="311">
      <formula>D124="FILTER TYPE"</formula>
    </cfRule>
    <cfRule type="expression" dxfId="5592" priority="310">
      <formula>D124="WW PODS"</formula>
    </cfRule>
    <cfRule type="expression" dxfId="5591" priority="312">
      <formula>D124="KSA"</formula>
    </cfRule>
    <cfRule type="expression" dxfId="5590" priority="313">
      <formula>(D116="CANOPY TYPE")</formula>
    </cfRule>
  </conditionalFormatting>
  <conditionalFormatting sqref="E126">
    <cfRule type="containsText" dxfId="5589" priority="344" operator="containsText" text="LONG ">
      <formula>NOT(ISERROR(SEARCH("LONG ",E126)))</formula>
    </cfRule>
  </conditionalFormatting>
  <conditionalFormatting sqref="E131">
    <cfRule type="cellIs" dxfId="5588" priority="284" operator="greaterThan">
      <formula>2000</formula>
    </cfRule>
    <cfRule type="expression" dxfId="5587" priority="283">
      <formula>ISNUMBER(SEARCH("I-MUAP",$D$14))</formula>
    </cfRule>
    <cfRule type="expression" dxfId="5586" priority="282">
      <formula>AND((ISNUMBER(SEARCH("I-MUAP",$D$14))),E131&lt;2500)</formula>
    </cfRule>
  </conditionalFormatting>
  <conditionalFormatting sqref="E135:E137">
    <cfRule type="expression" dxfId="5585" priority="29">
      <formula>$C135="SELECT WORKS"</formula>
    </cfRule>
  </conditionalFormatting>
  <conditionalFormatting sqref="E141:E142">
    <cfRule type="expression" dxfId="5584" priority="241">
      <formula>D141="WW PODS"</formula>
    </cfRule>
    <cfRule type="expression" dxfId="5583" priority="242">
      <formula>D141="FILTER TYPE"</formula>
    </cfRule>
    <cfRule type="expression" dxfId="5582" priority="243">
      <formula>D141="KSA"</formula>
    </cfRule>
    <cfRule type="expression" dxfId="5581" priority="244">
      <formula>(D133="CANOPY TYPE")</formula>
    </cfRule>
  </conditionalFormatting>
  <conditionalFormatting sqref="E143">
    <cfRule type="containsText" dxfId="5580" priority="275" operator="containsText" text="LONG ">
      <formula>NOT(ISERROR(SEARCH("LONG ",E143)))</formula>
    </cfRule>
  </conditionalFormatting>
  <conditionalFormatting sqref="E148">
    <cfRule type="expression" dxfId="5579" priority="227">
      <formula>AND((ISNUMBER(SEARCH("I-MUAP",$D$14))),E148&lt;2500)</formula>
    </cfRule>
    <cfRule type="expression" dxfId="5578" priority="228">
      <formula>ISNUMBER(SEARCH("I-MUAP",$D$14))</formula>
    </cfRule>
    <cfRule type="cellIs" dxfId="5577" priority="229" operator="greaterThan">
      <formula>2000</formula>
    </cfRule>
  </conditionalFormatting>
  <conditionalFormatting sqref="E152:E154">
    <cfRule type="expression" dxfId="5576" priority="15">
      <formula>$C152="SELECT WORKS"</formula>
    </cfRule>
  </conditionalFormatting>
  <conditionalFormatting sqref="E158:E159">
    <cfRule type="expression" dxfId="5575" priority="187">
      <formula>D158="FILTER TYPE"</formula>
    </cfRule>
    <cfRule type="expression" dxfId="5574" priority="188">
      <formula>D158="KSA"</formula>
    </cfRule>
    <cfRule type="expression" dxfId="5573" priority="189">
      <formula>(D150="CANOPY TYPE")</formula>
    </cfRule>
    <cfRule type="expression" dxfId="5572" priority="186">
      <formula>D158="WW PODS"</formula>
    </cfRule>
  </conditionalFormatting>
  <conditionalFormatting sqref="E160">
    <cfRule type="containsText" dxfId="5571" priority="220" operator="containsText" text="LONG ">
      <formula>NOT(ISERROR(SEARCH("LONG ",E160)))</formula>
    </cfRule>
  </conditionalFormatting>
  <conditionalFormatting sqref="E165">
    <cfRule type="cellIs" dxfId="5570" priority="174" operator="greaterThan">
      <formula>2000</formula>
    </cfRule>
    <cfRule type="expression" dxfId="5569" priority="173">
      <formula>ISNUMBER(SEARCH("I-MUAP",$D$14))</formula>
    </cfRule>
    <cfRule type="expression" dxfId="5568" priority="172">
      <formula>AND((ISNUMBER(SEARCH("I-MUAP",$D$14))),E165&lt;2500)</formula>
    </cfRule>
  </conditionalFormatting>
  <conditionalFormatting sqref="E169:E171">
    <cfRule type="expression" dxfId="5567" priority="1">
      <formula>$C169="SELECT WORKS"</formula>
    </cfRule>
  </conditionalFormatting>
  <conditionalFormatting sqref="E175:E176">
    <cfRule type="expression" dxfId="5566" priority="131">
      <formula>D175="WW PODS"</formula>
    </cfRule>
    <cfRule type="expression" dxfId="5565" priority="134">
      <formula>(D167="CANOPY TYPE")</formula>
    </cfRule>
    <cfRule type="expression" dxfId="5564" priority="133">
      <formula>D175="KSA"</formula>
    </cfRule>
    <cfRule type="expression" dxfId="5563" priority="132">
      <formula>D175="FILTER TYPE"</formula>
    </cfRule>
  </conditionalFormatting>
  <conditionalFormatting sqref="E177">
    <cfRule type="containsText" dxfId="5562" priority="165" operator="containsText" text="LONG ">
      <formula>NOT(ISERROR(SEARCH("LONG ",E177)))</formula>
    </cfRule>
  </conditionalFormatting>
  <conditionalFormatting sqref="E12:F12">
    <cfRule type="cellIs" dxfId="5561" priority="774" operator="lessThan">
      <formula>1000</formula>
    </cfRule>
  </conditionalFormatting>
  <conditionalFormatting sqref="E14:F14">
    <cfRule type="cellIs" dxfId="5560" priority="771" operator="lessThan">
      <formula>1000</formula>
    </cfRule>
  </conditionalFormatting>
  <conditionalFormatting sqref="E25:F27">
    <cfRule type="expression" dxfId="5559" priority="710">
      <formula>($D$14="CANOPY TYPE")</formula>
    </cfRule>
  </conditionalFormatting>
  <conditionalFormatting sqref="E29:F29">
    <cfRule type="cellIs" dxfId="5558" priority="697" operator="lessThan">
      <formula>1000</formula>
    </cfRule>
  </conditionalFormatting>
  <conditionalFormatting sqref="E31:F31">
    <cfRule type="cellIs" dxfId="5557" priority="694" operator="lessThan">
      <formula>1000</formula>
    </cfRule>
  </conditionalFormatting>
  <conditionalFormatting sqref="E32:F32">
    <cfRule type="expression" dxfId="5556" priority="545">
      <formula>(C32="LIGHT SELECTION")</formula>
    </cfRule>
  </conditionalFormatting>
  <conditionalFormatting sqref="E42:F44">
    <cfRule type="expression" dxfId="5555" priority="678">
      <formula>($D$14="CANOPY TYPE")</formula>
    </cfRule>
  </conditionalFormatting>
  <conditionalFormatting sqref="E46:F46">
    <cfRule type="cellIs" dxfId="5554" priority="665" operator="lessThan">
      <formula>1000</formula>
    </cfRule>
  </conditionalFormatting>
  <conditionalFormatting sqref="E48:F48">
    <cfRule type="cellIs" dxfId="5553" priority="662" operator="lessThan">
      <formula>1000</formula>
    </cfRule>
  </conditionalFormatting>
  <conditionalFormatting sqref="E59:F61">
    <cfRule type="expression" dxfId="5552" priority="648">
      <formula>($D$14="CANOPY TYPE")</formula>
    </cfRule>
  </conditionalFormatting>
  <conditionalFormatting sqref="E63:F63">
    <cfRule type="cellIs" dxfId="5551" priority="635" operator="lessThan">
      <formula>1000</formula>
    </cfRule>
  </conditionalFormatting>
  <conditionalFormatting sqref="E65:F65">
    <cfRule type="cellIs" dxfId="5550" priority="632" operator="lessThan">
      <formula>1000</formula>
    </cfRule>
  </conditionalFormatting>
  <conditionalFormatting sqref="E66:F66">
    <cfRule type="expression" dxfId="5549" priority="538">
      <formula>(C66="LIGHT SELECTION")</formula>
    </cfRule>
  </conditionalFormatting>
  <conditionalFormatting sqref="E76:F78">
    <cfRule type="expression" dxfId="5548" priority="617">
      <formula>($D$14="CANOPY TYPE")</formula>
    </cfRule>
  </conditionalFormatting>
  <conditionalFormatting sqref="E80:F80">
    <cfRule type="cellIs" dxfId="5547" priority="604" operator="lessThan">
      <formula>1000</formula>
    </cfRule>
  </conditionalFormatting>
  <conditionalFormatting sqref="E82:F82">
    <cfRule type="cellIs" dxfId="5546" priority="601" operator="lessThan">
      <formula>1000</formula>
    </cfRule>
  </conditionalFormatting>
  <conditionalFormatting sqref="E83:F83">
    <cfRule type="expression" dxfId="5545" priority="534">
      <formula>(C83="LIGHT SELECTION")</formula>
    </cfRule>
  </conditionalFormatting>
  <conditionalFormatting sqref="E93:F95">
    <cfRule type="expression" dxfId="5544" priority="585">
      <formula>($D$14="CANOPY TYPE")</formula>
    </cfRule>
  </conditionalFormatting>
  <conditionalFormatting sqref="E97:F97">
    <cfRule type="cellIs" dxfId="5543" priority="572" operator="lessThan">
      <formula>1000</formula>
    </cfRule>
  </conditionalFormatting>
  <conditionalFormatting sqref="E99:F99">
    <cfRule type="cellIs" dxfId="5542" priority="569" operator="lessThan">
      <formula>1000</formula>
    </cfRule>
  </conditionalFormatting>
  <conditionalFormatting sqref="E100:F100">
    <cfRule type="expression" dxfId="5541" priority="530">
      <formula>(C100="LIGHT SELECTION")</formula>
    </cfRule>
  </conditionalFormatting>
  <conditionalFormatting sqref="E110:F112 E127:F129 E144:F146 E161:F163 E178:F180">
    <cfRule type="expression" dxfId="5540" priority="554">
      <formula>($D$14="CANOPY TYPE")</formula>
    </cfRule>
  </conditionalFormatting>
  <conditionalFormatting sqref="E114:F114">
    <cfRule type="cellIs" dxfId="5539" priority="348" operator="lessThan">
      <formula>1000</formula>
    </cfRule>
  </conditionalFormatting>
  <conditionalFormatting sqref="E116:F116">
    <cfRule type="cellIs" dxfId="5538" priority="345" operator="lessThan">
      <formula>1000</formula>
    </cfRule>
  </conditionalFormatting>
  <conditionalFormatting sqref="E117:F117">
    <cfRule type="expression" dxfId="5537" priority="328">
      <formula>(C117="LIGHT SELECTION")</formula>
    </cfRule>
  </conditionalFormatting>
  <conditionalFormatting sqref="E131:F131">
    <cfRule type="cellIs" dxfId="5536" priority="279" operator="lessThan">
      <formula>1000</formula>
    </cfRule>
  </conditionalFormatting>
  <conditionalFormatting sqref="E133:F133">
    <cfRule type="cellIs" dxfId="5535" priority="276" operator="lessThan">
      <formula>1000</formula>
    </cfRule>
  </conditionalFormatting>
  <conditionalFormatting sqref="E134:F134">
    <cfRule type="expression" dxfId="5534" priority="259">
      <formula>(C134="LIGHT SELECTION")</formula>
    </cfRule>
  </conditionalFormatting>
  <conditionalFormatting sqref="E148:F148">
    <cfRule type="cellIs" dxfId="5533" priority="224" operator="lessThan">
      <formula>1000</formula>
    </cfRule>
  </conditionalFormatting>
  <conditionalFormatting sqref="E150:F150">
    <cfRule type="cellIs" dxfId="5532" priority="221" operator="lessThan">
      <formula>1000</formula>
    </cfRule>
  </conditionalFormatting>
  <conditionalFormatting sqref="E151:F151">
    <cfRule type="expression" dxfId="5531" priority="204">
      <formula>(C151="LIGHT SELECTION")</formula>
    </cfRule>
  </conditionalFormatting>
  <conditionalFormatting sqref="E165:F165">
    <cfRule type="cellIs" dxfId="5530" priority="169" operator="lessThan">
      <formula>1000</formula>
    </cfRule>
  </conditionalFormatting>
  <conditionalFormatting sqref="E167:F167">
    <cfRule type="cellIs" dxfId="5529" priority="166" operator="lessThan">
      <formula>1000</formula>
    </cfRule>
  </conditionalFormatting>
  <conditionalFormatting sqref="E168:F168">
    <cfRule type="expression" dxfId="5528" priority="149">
      <formula>(C168="LIGHT SELECTION")</formula>
    </cfRule>
  </conditionalFormatting>
  <conditionalFormatting sqref="F12">
    <cfRule type="cellIs" dxfId="5527" priority="775" operator="greaterThan">
      <formula>3001</formula>
    </cfRule>
  </conditionalFormatting>
  <conditionalFormatting sqref="F15">
    <cfRule type="expression" dxfId="5526" priority="797">
      <formula>(D49="LIGHT SELECTION")</formula>
    </cfRule>
    <cfRule type="expression" dxfId="5525" priority="764">
      <formula>(C15="LIGHT SELECTION")</formula>
    </cfRule>
    <cfRule type="expression" dxfId="5524" priority="547">
      <formula>(C15="LED STRIP")</formula>
    </cfRule>
    <cfRule type="expression" dxfId="5523" priority="766">
      <formula>(C15="FLO")</formula>
    </cfRule>
  </conditionalFormatting>
  <conditionalFormatting sqref="F22:F23">
    <cfRule type="expression" dxfId="5522" priority="795">
      <formula>(((I14*3600)/(C22*I11))^2+20)&gt;180</formula>
    </cfRule>
    <cfRule type="expression" dxfId="5521" priority="788">
      <formula>D22="NF"</formula>
    </cfRule>
    <cfRule type="expression" dxfId="5520" priority="789">
      <formula>D22="WW PODS"</formula>
    </cfRule>
    <cfRule type="expression" dxfId="5519" priority="796">
      <formula>D22="KSA"</formula>
    </cfRule>
    <cfRule type="expression" dxfId="5518" priority="790">
      <formula>D22="GRILLE"</formula>
    </cfRule>
    <cfRule type="expression" dxfId="5517" priority="791">
      <formula>D22="CENTREX"</formula>
    </cfRule>
    <cfRule type="expression" dxfId="5516" priority="792" stopIfTrue="1">
      <formula>D14="canopy type"</formula>
    </cfRule>
    <cfRule type="expression" dxfId="5515" priority="793">
      <formula>(((I14*3600)/(C22*I11))^2+20)&gt;300</formula>
    </cfRule>
    <cfRule type="expression" dxfId="5514" priority="794" stopIfTrue="1">
      <formula>(ISNUMBER(SEARCH("UV",D14)))</formula>
    </cfRule>
  </conditionalFormatting>
  <conditionalFormatting sqref="F24">
    <cfRule type="cellIs" dxfId="5513" priority="769" operator="lessThan">
      <formula>2100</formula>
    </cfRule>
  </conditionalFormatting>
  <conditionalFormatting sqref="F29">
    <cfRule type="cellIs" dxfId="5512" priority="698" operator="greaterThan">
      <formula>3001</formula>
    </cfRule>
  </conditionalFormatting>
  <conditionalFormatting sqref="F32">
    <cfRule type="expression" dxfId="5511" priority="543">
      <formula>(C32="LED STRIP")</formula>
    </cfRule>
    <cfRule type="expression" dxfId="5510" priority="544">
      <formula>(C32="LIGHT SELECTION")</formula>
    </cfRule>
    <cfRule type="expression" dxfId="5509" priority="546">
      <formula>(C32="FLO")</formula>
    </cfRule>
  </conditionalFormatting>
  <conditionalFormatting sqref="F39:F40">
    <cfRule type="expression" dxfId="5508" priority="491">
      <formula>D39="KSA"</formula>
    </cfRule>
    <cfRule type="expression" dxfId="5507" priority="490">
      <formula>(((I31*3600)/(C39*I28))^2+20)&gt;180</formula>
    </cfRule>
    <cfRule type="expression" dxfId="5506" priority="489" stopIfTrue="1">
      <formula>(ISNUMBER(SEARCH("UV",D31)))</formula>
    </cfRule>
    <cfRule type="expression" dxfId="5505" priority="488">
      <formula>(((I31*3600)/(C39*I28))^2+20)&gt;300</formula>
    </cfRule>
    <cfRule type="expression" dxfId="5504" priority="487" stopIfTrue="1">
      <formula>D31="canopy type"</formula>
    </cfRule>
    <cfRule type="expression" dxfId="5503" priority="486">
      <formula>D39="CENTREX"</formula>
    </cfRule>
    <cfRule type="expression" dxfId="5502" priority="485">
      <formula>D39="GRILLE"</formula>
    </cfRule>
    <cfRule type="expression" dxfId="5501" priority="484">
      <formula>D39="WW PODS"</formula>
    </cfRule>
    <cfRule type="expression" dxfId="5500" priority="483">
      <formula>D39="NF"</formula>
    </cfRule>
  </conditionalFormatting>
  <conditionalFormatting sqref="F41">
    <cfRule type="cellIs" dxfId="5499" priority="692" operator="lessThan">
      <formula>2100</formula>
    </cfRule>
  </conditionalFormatting>
  <conditionalFormatting sqref="F46">
    <cfRule type="cellIs" dxfId="5498" priority="666" operator="greaterThan">
      <formula>3001</formula>
    </cfRule>
  </conditionalFormatting>
  <conditionalFormatting sqref="F49">
    <cfRule type="expression" dxfId="5497" priority="540">
      <formula>(C49="LED STRIP")</formula>
    </cfRule>
    <cfRule type="expression" dxfId="5496" priority="798">
      <formula>(#REF!="LIGHT SELECTION")</formula>
    </cfRule>
    <cfRule type="expression" dxfId="5495" priority="541">
      <formula>(C49="LIGHT SELECTION")</formula>
    </cfRule>
    <cfRule type="expression" dxfId="5494" priority="542">
      <formula>(C49="FLO")</formula>
    </cfRule>
  </conditionalFormatting>
  <conditionalFormatting sqref="F56:F57">
    <cfRule type="expression" dxfId="5493" priority="459">
      <formula>D56="GRILLE"</formula>
    </cfRule>
    <cfRule type="expression" dxfId="5492" priority="465">
      <formula>D56="KSA"</formula>
    </cfRule>
    <cfRule type="expression" dxfId="5491" priority="457">
      <formula>D56="NF"</formula>
    </cfRule>
    <cfRule type="expression" dxfId="5490" priority="458">
      <formula>D56="WW PODS"</formula>
    </cfRule>
    <cfRule type="expression" dxfId="5489" priority="460">
      <formula>D56="CENTREX"</formula>
    </cfRule>
    <cfRule type="expression" dxfId="5488" priority="461" stopIfTrue="1">
      <formula>D48="canopy type"</formula>
    </cfRule>
    <cfRule type="expression" dxfId="5487" priority="462">
      <formula>(((I48*3600)/(C56*I45))^2+20)&gt;300</formula>
    </cfRule>
    <cfRule type="expression" dxfId="5486" priority="463" stopIfTrue="1">
      <formula>(ISNUMBER(SEARCH("UV",D48)))</formula>
    </cfRule>
    <cfRule type="expression" dxfId="5485" priority="464">
      <formula>(((I48*3600)/(C56*I45))^2+20)&gt;180</formula>
    </cfRule>
  </conditionalFormatting>
  <conditionalFormatting sqref="F58">
    <cfRule type="cellIs" dxfId="5484" priority="660" operator="lessThan">
      <formula>2100</formula>
    </cfRule>
  </conditionalFormatting>
  <conditionalFormatting sqref="F63">
    <cfRule type="cellIs" dxfId="5483" priority="636" operator="greaterThan">
      <formula>3001</formula>
    </cfRule>
  </conditionalFormatting>
  <conditionalFormatting sqref="F66">
    <cfRule type="expression" dxfId="5482" priority="536">
      <formula>(C66="LED STRIP")</formula>
    </cfRule>
    <cfRule type="expression" dxfId="5481" priority="537">
      <formula>(C66="LIGHT SELECTION")</formula>
    </cfRule>
    <cfRule type="expression" dxfId="5480" priority="539">
      <formula>(C66="FLO")</formula>
    </cfRule>
  </conditionalFormatting>
  <conditionalFormatting sqref="F73:F74">
    <cfRule type="expression" dxfId="5479" priority="439">
      <formula>D73="KSA"</formula>
    </cfRule>
    <cfRule type="expression" dxfId="5478" priority="438">
      <formula>(((I65*3600)/(C73*I62))^2+20)&gt;180</formula>
    </cfRule>
    <cfRule type="expression" dxfId="5477" priority="437" stopIfTrue="1">
      <formula>(ISNUMBER(SEARCH("UV",D65)))</formula>
    </cfRule>
    <cfRule type="expression" dxfId="5476" priority="436">
      <formula>(((I65*3600)/(C73*I62))^2+20)&gt;300</formula>
    </cfRule>
    <cfRule type="expression" dxfId="5475" priority="435" stopIfTrue="1">
      <formula>D65="canopy type"</formula>
    </cfRule>
    <cfRule type="expression" dxfId="5474" priority="434">
      <formula>D73="CENTREX"</formula>
    </cfRule>
    <cfRule type="expression" dxfId="5473" priority="433">
      <formula>D73="GRILLE"</formula>
    </cfRule>
    <cfRule type="expression" dxfId="5472" priority="432">
      <formula>D73="WW PODS"</formula>
    </cfRule>
    <cfRule type="expression" dxfId="5471" priority="431">
      <formula>D73="NF"</formula>
    </cfRule>
  </conditionalFormatting>
  <conditionalFormatting sqref="F75">
    <cfRule type="cellIs" dxfId="5470" priority="630" operator="lessThan">
      <formula>2100</formula>
    </cfRule>
  </conditionalFormatting>
  <conditionalFormatting sqref="F80">
    <cfRule type="cellIs" dxfId="5469" priority="605" operator="greaterThan">
      <formula>3001</formula>
    </cfRule>
  </conditionalFormatting>
  <conditionalFormatting sqref="F83">
    <cfRule type="expression" dxfId="5468" priority="533">
      <formula>(C83="LIGHT SELECTION")</formula>
    </cfRule>
    <cfRule type="expression" dxfId="5467" priority="535">
      <formula>(C83="FLO")</formula>
    </cfRule>
    <cfRule type="expression" dxfId="5466" priority="532">
      <formula>(C83="LED STRIP")</formula>
    </cfRule>
  </conditionalFormatting>
  <conditionalFormatting sqref="F90:F91">
    <cfRule type="expression" dxfId="5465" priority="409" stopIfTrue="1">
      <formula>D82="canopy type"</formula>
    </cfRule>
    <cfRule type="expression" dxfId="5464" priority="406">
      <formula>D90="WW PODS"</formula>
    </cfRule>
    <cfRule type="expression" dxfId="5463" priority="405">
      <formula>D90="NF"</formula>
    </cfRule>
    <cfRule type="expression" dxfId="5462" priority="412">
      <formula>(((I82*3600)/(C90*I79))^2+20)&gt;180</formula>
    </cfRule>
    <cfRule type="expression" dxfId="5461" priority="411" stopIfTrue="1">
      <formula>(ISNUMBER(SEARCH("UV",D82)))</formula>
    </cfRule>
    <cfRule type="expression" dxfId="5460" priority="410">
      <formula>(((I82*3600)/(C90*I79))^2+20)&gt;300</formula>
    </cfRule>
    <cfRule type="expression" dxfId="5459" priority="407">
      <formula>D90="GRILLE"</formula>
    </cfRule>
    <cfRule type="expression" dxfId="5458" priority="408">
      <formula>D90="CENTREX"</formula>
    </cfRule>
    <cfRule type="expression" dxfId="5457" priority="413">
      <formula>D90="KSA"</formula>
    </cfRule>
  </conditionalFormatting>
  <conditionalFormatting sqref="F92">
    <cfRule type="cellIs" dxfId="5456" priority="599" operator="lessThan">
      <formula>2100</formula>
    </cfRule>
  </conditionalFormatting>
  <conditionalFormatting sqref="F97">
    <cfRule type="cellIs" dxfId="5455" priority="573" operator="greaterThan">
      <formula>3001</formula>
    </cfRule>
  </conditionalFormatting>
  <conditionalFormatting sqref="F100">
    <cfRule type="expression" dxfId="5454" priority="528">
      <formula>(C100="LED STRIP")</formula>
    </cfRule>
    <cfRule type="expression" dxfId="5453" priority="531">
      <formula>(C100="FLO")</formula>
    </cfRule>
    <cfRule type="expression" dxfId="5452" priority="529">
      <formula>(C100="LIGHT SELECTION")</formula>
    </cfRule>
  </conditionalFormatting>
  <conditionalFormatting sqref="F107:F108">
    <cfRule type="expression" dxfId="5451" priority="385" stopIfTrue="1">
      <formula>(ISNUMBER(SEARCH("UV",D99)))</formula>
    </cfRule>
    <cfRule type="expression" dxfId="5450" priority="379">
      <formula>D107="NF"</formula>
    </cfRule>
    <cfRule type="expression" dxfId="5449" priority="387">
      <formula>D107="KSA"</formula>
    </cfRule>
    <cfRule type="expression" dxfId="5448" priority="380">
      <formula>D107="WW PODS"</formula>
    </cfRule>
    <cfRule type="expression" dxfId="5447" priority="381">
      <formula>D107="GRILLE"</formula>
    </cfRule>
    <cfRule type="expression" dxfId="5446" priority="384">
      <formula>(((I99*3600)/(C107*I96))^2+20)&gt;300</formula>
    </cfRule>
    <cfRule type="expression" dxfId="5445" priority="383" stopIfTrue="1">
      <formula>D99="canopy type"</formula>
    </cfRule>
    <cfRule type="expression" dxfId="5444" priority="382">
      <formula>D107="CENTREX"</formula>
    </cfRule>
    <cfRule type="expression" dxfId="5443" priority="386">
      <formula>(((I99*3600)/(C107*I96))^2+20)&gt;180</formula>
    </cfRule>
  </conditionalFormatting>
  <conditionalFormatting sqref="F109">
    <cfRule type="cellIs" dxfId="5442" priority="567" operator="lessThan">
      <formula>2100</formula>
    </cfRule>
  </conditionalFormatting>
  <conditionalFormatting sqref="F114">
    <cfRule type="cellIs" dxfId="5441" priority="349" operator="greaterThan">
      <formula>3001</formula>
    </cfRule>
  </conditionalFormatting>
  <conditionalFormatting sqref="F117">
    <cfRule type="expression" dxfId="5440" priority="326">
      <formula>(C117="LED STRIP")</formula>
    </cfRule>
    <cfRule type="expression" dxfId="5439" priority="329">
      <formula>(C117="FLO")</formula>
    </cfRule>
    <cfRule type="expression" dxfId="5438" priority="327">
      <formula>(C117="LIGHT SELECTION")</formula>
    </cfRule>
  </conditionalFormatting>
  <conditionalFormatting sqref="F124:F125">
    <cfRule type="expression" dxfId="5437" priority="322">
      <formula>D124="KSA"</formula>
    </cfRule>
    <cfRule type="expression" dxfId="5436" priority="321">
      <formula>(((I116*3600)/(C124*I113))^2+20)&gt;180</formula>
    </cfRule>
    <cfRule type="expression" dxfId="5435" priority="315">
      <formula>D124="WW PODS"</formula>
    </cfRule>
    <cfRule type="expression" dxfId="5434" priority="316">
      <formula>D124="GRILLE"</formula>
    </cfRule>
    <cfRule type="expression" dxfId="5433" priority="314">
      <formula>D124="NF"</formula>
    </cfRule>
    <cfRule type="expression" dxfId="5432" priority="317">
      <formula>D124="CENTREX"</formula>
    </cfRule>
    <cfRule type="expression" dxfId="5431" priority="318" stopIfTrue="1">
      <formula>D116="canopy type"</formula>
    </cfRule>
    <cfRule type="expression" dxfId="5430" priority="319">
      <formula>(((I116*3600)/(C124*I113))^2+20)&gt;300</formula>
    </cfRule>
    <cfRule type="expression" dxfId="5429" priority="320" stopIfTrue="1">
      <formula>(ISNUMBER(SEARCH("UV",D116)))</formula>
    </cfRule>
  </conditionalFormatting>
  <conditionalFormatting sqref="F126">
    <cfRule type="cellIs" dxfId="5428" priority="343" operator="lessThan">
      <formula>2100</formula>
    </cfRule>
  </conditionalFormatting>
  <conditionalFormatting sqref="F131">
    <cfRule type="cellIs" dxfId="5427" priority="280" operator="greaterThan">
      <formula>3001</formula>
    </cfRule>
  </conditionalFormatting>
  <conditionalFormatting sqref="F134">
    <cfRule type="expression" dxfId="5426" priority="260">
      <formula>(C134="FLO")</formula>
    </cfRule>
    <cfRule type="expression" dxfId="5425" priority="258">
      <formula>(C134="LIGHT SELECTION")</formula>
    </cfRule>
    <cfRule type="expression" dxfId="5424" priority="257">
      <formula>(C134="LED STRIP")</formula>
    </cfRule>
  </conditionalFormatting>
  <conditionalFormatting sqref="F141:F142">
    <cfRule type="expression" dxfId="5423" priority="245">
      <formula>D141="NF"</formula>
    </cfRule>
    <cfRule type="expression" dxfId="5422" priority="249" stopIfTrue="1">
      <formula>D133="canopy type"</formula>
    </cfRule>
    <cfRule type="expression" dxfId="5421" priority="250">
      <formula>(((I133*3600)/(C141*I130))^2+20)&gt;300</formula>
    </cfRule>
    <cfRule type="expression" dxfId="5420" priority="248">
      <formula>D141="CENTREX"</formula>
    </cfRule>
    <cfRule type="expression" dxfId="5419" priority="251" stopIfTrue="1">
      <formula>(ISNUMBER(SEARCH("UV",D133)))</formula>
    </cfRule>
    <cfRule type="expression" dxfId="5418" priority="253">
      <formula>D141="KSA"</formula>
    </cfRule>
    <cfRule type="expression" dxfId="5417" priority="247">
      <formula>D141="GRILLE"</formula>
    </cfRule>
    <cfRule type="expression" dxfId="5416" priority="252">
      <formula>(((I133*3600)/(C141*I130))^2+20)&gt;180</formula>
    </cfRule>
    <cfRule type="expression" dxfId="5415" priority="246">
      <formula>D141="WW PODS"</formula>
    </cfRule>
  </conditionalFormatting>
  <conditionalFormatting sqref="F143">
    <cfRule type="cellIs" dxfId="5414" priority="274" operator="lessThan">
      <formula>2100</formula>
    </cfRule>
  </conditionalFormatting>
  <conditionalFormatting sqref="F148">
    <cfRule type="cellIs" dxfId="5413" priority="225" operator="greaterThan">
      <formula>3001</formula>
    </cfRule>
  </conditionalFormatting>
  <conditionalFormatting sqref="F151">
    <cfRule type="expression" dxfId="5412" priority="205">
      <formula>(C151="FLO")</formula>
    </cfRule>
    <cfRule type="expression" dxfId="5411" priority="203">
      <formula>(C151="LIGHT SELECTION")</formula>
    </cfRule>
    <cfRule type="expression" dxfId="5410" priority="202">
      <formula>(C151="LED STRIP")</formula>
    </cfRule>
  </conditionalFormatting>
  <conditionalFormatting sqref="F158:F159">
    <cfRule type="expression" dxfId="5409" priority="191">
      <formula>D158="WW PODS"</formula>
    </cfRule>
    <cfRule type="expression" dxfId="5408" priority="198">
      <formula>D158="KSA"</formula>
    </cfRule>
    <cfRule type="expression" dxfId="5407" priority="193">
      <formula>D158="CENTREX"</formula>
    </cfRule>
    <cfRule type="expression" dxfId="5406" priority="194" stopIfTrue="1">
      <formula>D150="canopy type"</formula>
    </cfRule>
    <cfRule type="expression" dxfId="5405" priority="195">
      <formula>(((I150*3600)/(C158*I147))^2+20)&gt;300</formula>
    </cfRule>
    <cfRule type="expression" dxfId="5404" priority="190">
      <formula>D158="NF"</formula>
    </cfRule>
    <cfRule type="expression" dxfId="5403" priority="196" stopIfTrue="1">
      <formula>(ISNUMBER(SEARCH("UV",D150)))</formula>
    </cfRule>
    <cfRule type="expression" dxfId="5402" priority="197">
      <formula>(((I150*3600)/(C158*I147))^2+20)&gt;180</formula>
    </cfRule>
    <cfRule type="expression" dxfId="5401" priority="192">
      <formula>D158="GRILLE"</formula>
    </cfRule>
  </conditionalFormatting>
  <conditionalFormatting sqref="F160">
    <cfRule type="cellIs" dxfId="5400" priority="219" operator="lessThan">
      <formula>2100</formula>
    </cfRule>
  </conditionalFormatting>
  <conditionalFormatting sqref="F165">
    <cfRule type="cellIs" dxfId="5399" priority="170" operator="greaterThan">
      <formula>3001</formula>
    </cfRule>
  </conditionalFormatting>
  <conditionalFormatting sqref="F168">
    <cfRule type="expression" dxfId="5398" priority="147">
      <formula>(C168="LED STRIP")</formula>
    </cfRule>
    <cfRule type="expression" dxfId="5397" priority="148">
      <formula>(C168="LIGHT SELECTION")</formula>
    </cfRule>
    <cfRule type="expression" dxfId="5396" priority="150">
      <formula>(C168="FLO")</formula>
    </cfRule>
  </conditionalFormatting>
  <conditionalFormatting sqref="F175:F176">
    <cfRule type="expression" dxfId="5395" priority="136">
      <formula>D175="WW PODS"</formula>
    </cfRule>
    <cfRule type="expression" dxfId="5394" priority="135">
      <formula>D175="NF"</formula>
    </cfRule>
    <cfRule type="expression" dxfId="5393" priority="137">
      <formula>D175="GRILLE"</formula>
    </cfRule>
    <cfRule type="expression" dxfId="5392" priority="138">
      <formula>D175="CENTREX"</formula>
    </cfRule>
    <cfRule type="expression" dxfId="5391" priority="139" stopIfTrue="1">
      <formula>D167="canopy type"</formula>
    </cfRule>
    <cfRule type="expression" dxfId="5390" priority="140">
      <formula>(((I167*3600)/(C175*I164))^2+20)&gt;300</formula>
    </cfRule>
    <cfRule type="expression" dxfId="5389" priority="143">
      <formula>D175="KSA"</formula>
    </cfRule>
    <cfRule type="expression" dxfId="5388" priority="142">
      <formula>(((I167*3600)/(C175*I164))^2+20)&gt;180</formula>
    </cfRule>
    <cfRule type="expression" dxfId="5387" priority="141" stopIfTrue="1">
      <formula>(ISNUMBER(SEARCH("UV",D167)))</formula>
    </cfRule>
  </conditionalFormatting>
  <conditionalFormatting sqref="F177">
    <cfRule type="cellIs" dxfId="5386" priority="164" operator="lessThan">
      <formula>2100</formula>
    </cfRule>
  </conditionalFormatting>
  <conditionalFormatting sqref="G11">
    <cfRule type="expression" dxfId="5385" priority="777">
      <formula>((F14-50)/H14)&lt;950</formula>
    </cfRule>
  </conditionalFormatting>
  <conditionalFormatting sqref="G12">
    <cfRule type="expression" dxfId="5384" priority="776">
      <formula>((F14-50)/H14)&lt;950</formula>
    </cfRule>
  </conditionalFormatting>
  <conditionalFormatting sqref="G14">
    <cfRule type="cellIs" dxfId="5383" priority="772" operator="lessThan">
      <formula>400</formula>
    </cfRule>
  </conditionalFormatting>
  <conditionalFormatting sqref="G28">
    <cfRule type="expression" dxfId="5382" priority="721">
      <formula>((F31-50)/H31)&lt;950</formula>
    </cfRule>
  </conditionalFormatting>
  <conditionalFormatting sqref="G29">
    <cfRule type="expression" dxfId="5381" priority="699">
      <formula>((F31-50)/H31)&lt;950</formula>
    </cfRule>
  </conditionalFormatting>
  <conditionalFormatting sqref="G31">
    <cfRule type="cellIs" dxfId="5380" priority="695" operator="lessThan">
      <formula>400</formula>
    </cfRule>
  </conditionalFormatting>
  <conditionalFormatting sqref="G45">
    <cfRule type="expression" dxfId="5379" priority="737">
      <formula>((F48-50)/H48)&lt;950</formula>
    </cfRule>
  </conditionalFormatting>
  <conditionalFormatting sqref="G46">
    <cfRule type="expression" dxfId="5378" priority="667">
      <formula>((F48-50)/H48)&lt;950</formula>
    </cfRule>
  </conditionalFormatting>
  <conditionalFormatting sqref="G48">
    <cfRule type="cellIs" dxfId="5377" priority="663" operator="lessThan">
      <formula>400</formula>
    </cfRule>
  </conditionalFormatting>
  <conditionalFormatting sqref="G62">
    <cfRule type="expression" dxfId="5376" priority="738">
      <formula>((F65-50)/H65)&lt;950</formula>
    </cfRule>
  </conditionalFormatting>
  <conditionalFormatting sqref="G63">
    <cfRule type="expression" dxfId="5375" priority="637">
      <formula>((F65-50)/H65)&lt;950</formula>
    </cfRule>
  </conditionalFormatting>
  <conditionalFormatting sqref="G65">
    <cfRule type="cellIs" dxfId="5374" priority="633" operator="lessThan">
      <formula>400</formula>
    </cfRule>
  </conditionalFormatting>
  <conditionalFormatting sqref="G79">
    <cfRule type="expression" dxfId="5373" priority="739">
      <formula>((F82-50)/H82)&lt;950</formula>
    </cfRule>
  </conditionalFormatting>
  <conditionalFormatting sqref="G80">
    <cfRule type="expression" dxfId="5372" priority="606">
      <formula>((F82-50)/H82)&lt;950</formula>
    </cfRule>
  </conditionalFormatting>
  <conditionalFormatting sqref="G82">
    <cfRule type="cellIs" dxfId="5371" priority="602" operator="lessThan">
      <formula>400</formula>
    </cfRule>
  </conditionalFormatting>
  <conditionalFormatting sqref="G96">
    <cfRule type="expression" dxfId="5370" priority="749">
      <formula>((F99-50)/H99)&lt;950</formula>
    </cfRule>
  </conditionalFormatting>
  <conditionalFormatting sqref="G97">
    <cfRule type="expression" dxfId="5369" priority="574">
      <formula>((F99-50)/H99)&lt;950</formula>
    </cfRule>
  </conditionalFormatting>
  <conditionalFormatting sqref="G99">
    <cfRule type="cellIs" dxfId="5368" priority="570" operator="lessThan">
      <formula>400</formula>
    </cfRule>
  </conditionalFormatting>
  <conditionalFormatting sqref="G113">
    <cfRule type="expression" dxfId="5367" priority="361">
      <formula>((F116-50)/H116)&lt;950</formula>
    </cfRule>
  </conditionalFormatting>
  <conditionalFormatting sqref="G114">
    <cfRule type="expression" dxfId="5366" priority="350">
      <formula>((F116-50)/H116)&lt;950</formula>
    </cfRule>
  </conditionalFormatting>
  <conditionalFormatting sqref="G116">
    <cfRule type="cellIs" dxfId="5365" priority="346" operator="lessThan">
      <formula>400</formula>
    </cfRule>
  </conditionalFormatting>
  <conditionalFormatting sqref="G130">
    <cfRule type="expression" dxfId="5364" priority="292">
      <formula>((F133-50)/H133)&lt;950</formula>
    </cfRule>
  </conditionalFormatting>
  <conditionalFormatting sqref="G131">
    <cfRule type="expression" dxfId="5363" priority="281">
      <formula>((F133-50)/H133)&lt;950</formula>
    </cfRule>
  </conditionalFormatting>
  <conditionalFormatting sqref="G133">
    <cfRule type="cellIs" dxfId="5362" priority="277" operator="lessThan">
      <formula>400</formula>
    </cfRule>
  </conditionalFormatting>
  <conditionalFormatting sqref="G147">
    <cfRule type="expression" dxfId="5361" priority="237">
      <formula>((F150-50)/H150)&lt;950</formula>
    </cfRule>
  </conditionalFormatting>
  <conditionalFormatting sqref="G148">
    <cfRule type="expression" dxfId="5360" priority="226">
      <formula>((F150-50)/H150)&lt;950</formula>
    </cfRule>
  </conditionalFormatting>
  <conditionalFormatting sqref="G150">
    <cfRule type="cellIs" dxfId="5359" priority="222" operator="lessThan">
      <formula>400</formula>
    </cfRule>
  </conditionalFormatting>
  <conditionalFormatting sqref="G164">
    <cfRule type="expression" dxfId="5358" priority="182">
      <formula>((F167-50)/H167)&lt;950</formula>
    </cfRule>
  </conditionalFormatting>
  <conditionalFormatting sqref="G165">
    <cfRule type="expression" dxfId="5357" priority="171">
      <formula>((F167-50)/H167)&lt;950</formula>
    </cfRule>
  </conditionalFormatting>
  <conditionalFormatting sqref="G167">
    <cfRule type="cellIs" dxfId="5356" priority="167" operator="lessThan">
      <formula>400</formula>
    </cfRule>
  </conditionalFormatting>
  <conditionalFormatting sqref="I14">
    <cfRule type="cellIs" dxfId="5355" priority="773" operator="lessThan">
      <formula>0.1</formula>
    </cfRule>
  </conditionalFormatting>
  <conditionalFormatting sqref="I31">
    <cfRule type="cellIs" dxfId="5354" priority="696" operator="lessThan">
      <formula>0.1</formula>
    </cfRule>
  </conditionalFormatting>
  <conditionalFormatting sqref="I48">
    <cfRule type="cellIs" dxfId="5353" priority="664" operator="lessThan">
      <formula>0.1</formula>
    </cfRule>
  </conditionalFormatting>
  <conditionalFormatting sqref="I65">
    <cfRule type="cellIs" dxfId="5352" priority="634" operator="lessThan">
      <formula>0.1</formula>
    </cfRule>
  </conditionalFormatting>
  <conditionalFormatting sqref="I82">
    <cfRule type="cellIs" dxfId="5351" priority="603" operator="lessThan">
      <formula>0.1</formula>
    </cfRule>
  </conditionalFormatting>
  <conditionalFormatting sqref="I99">
    <cfRule type="cellIs" dxfId="5350" priority="571" operator="lessThan">
      <formula>0.1</formula>
    </cfRule>
  </conditionalFormatting>
  <conditionalFormatting sqref="I116">
    <cfRule type="cellIs" dxfId="5349" priority="347" operator="lessThan">
      <formula>0.1</formula>
    </cfRule>
  </conditionalFormatting>
  <conditionalFormatting sqref="I133">
    <cfRule type="cellIs" dxfId="5348" priority="278" operator="lessThan">
      <formula>0.1</formula>
    </cfRule>
  </conditionalFormatting>
  <conditionalFormatting sqref="I150">
    <cfRule type="cellIs" dxfId="5347" priority="223" operator="lessThan">
      <formula>0.1</formula>
    </cfRule>
  </conditionalFormatting>
  <conditionalFormatting sqref="I167">
    <cfRule type="cellIs" dxfId="5346" priority="168" operator="lessThan">
      <formula>0.1</formula>
    </cfRule>
  </conditionalFormatting>
  <conditionalFormatting sqref="J14:J27">
    <cfRule type="cellIs" dxfId="5345" priority="494" operator="greaterThan">
      <formula>0</formula>
    </cfRule>
  </conditionalFormatting>
  <conditionalFormatting sqref="J31:J44">
    <cfRule type="cellIs" dxfId="5344" priority="114" operator="greaterThan">
      <formula>0</formula>
    </cfRule>
  </conditionalFormatting>
  <conditionalFormatting sqref="J48:J61">
    <cfRule type="cellIs" dxfId="5343" priority="100" operator="greaterThan">
      <formula>0</formula>
    </cfRule>
  </conditionalFormatting>
  <conditionalFormatting sqref="J65:J78">
    <cfRule type="cellIs" dxfId="5342" priority="86" operator="greaterThan">
      <formula>0</formula>
    </cfRule>
  </conditionalFormatting>
  <conditionalFormatting sqref="J82:J95">
    <cfRule type="cellIs" dxfId="5341" priority="72" operator="greaterThan">
      <formula>0</formula>
    </cfRule>
  </conditionalFormatting>
  <conditionalFormatting sqref="J99:J112">
    <cfRule type="cellIs" dxfId="5340" priority="58" operator="greaterThan">
      <formula>0</formula>
    </cfRule>
  </conditionalFormatting>
  <conditionalFormatting sqref="J116:J129">
    <cfRule type="cellIs" dxfId="5339" priority="44" operator="greaterThan">
      <formula>0</formula>
    </cfRule>
  </conditionalFormatting>
  <conditionalFormatting sqref="J133:J146">
    <cfRule type="cellIs" dxfId="5338" priority="30" operator="greaterThan">
      <formula>0</formula>
    </cfRule>
  </conditionalFormatting>
  <conditionalFormatting sqref="J150:J163">
    <cfRule type="cellIs" dxfId="5337" priority="16" operator="greaterThan">
      <formula>0</formula>
    </cfRule>
  </conditionalFormatting>
  <conditionalFormatting sqref="J167:J180">
    <cfRule type="cellIs" dxfId="5336" priority="2" operator="greaterThan">
      <formula>0</formula>
    </cfRule>
  </conditionalFormatting>
  <conditionalFormatting sqref="J183:J197">
    <cfRule type="expression" dxfId="5335" priority="293">
      <formula>C183&gt;0</formula>
    </cfRule>
  </conditionalFormatting>
  <conditionalFormatting sqref="J199">
    <cfRule type="expression" dxfId="5334" priority="754">
      <formula>#REF!="EURO"</formula>
    </cfRule>
  </conditionalFormatting>
  <conditionalFormatting sqref="K14:K27">
    <cfRule type="cellIs" dxfId="5333" priority="508" operator="greaterThan">
      <formula>0</formula>
    </cfRule>
  </conditionalFormatting>
  <conditionalFormatting sqref="K31:K44">
    <cfRule type="cellIs" dxfId="5332" priority="117" operator="greaterThan">
      <formula>0</formula>
    </cfRule>
  </conditionalFormatting>
  <conditionalFormatting sqref="K48:K61">
    <cfRule type="cellIs" dxfId="5331" priority="103" operator="greaterThan">
      <formula>0</formula>
    </cfRule>
  </conditionalFormatting>
  <conditionalFormatting sqref="K65:K78">
    <cfRule type="cellIs" dxfId="5330" priority="89" operator="greaterThan">
      <formula>0</formula>
    </cfRule>
  </conditionalFormatting>
  <conditionalFormatting sqref="K82:K95">
    <cfRule type="cellIs" dxfId="5329" priority="75" operator="greaterThan">
      <formula>0</formula>
    </cfRule>
  </conditionalFormatting>
  <conditionalFormatting sqref="K99:K112">
    <cfRule type="cellIs" dxfId="5328" priority="61" operator="greaterThan">
      <formula>0</formula>
    </cfRule>
  </conditionalFormatting>
  <conditionalFormatting sqref="K116:K129">
    <cfRule type="cellIs" dxfId="5327" priority="47" operator="greaterThan">
      <formula>0</formula>
    </cfRule>
  </conditionalFormatting>
  <conditionalFormatting sqref="K133:K146">
    <cfRule type="cellIs" dxfId="5326" priority="33" operator="greaterThan">
      <formula>0</formula>
    </cfRule>
  </conditionalFormatting>
  <conditionalFormatting sqref="K150:K163">
    <cfRule type="cellIs" dxfId="5325" priority="19" operator="greaterThan">
      <formula>0</formula>
    </cfRule>
  </conditionalFormatting>
  <conditionalFormatting sqref="K167:K180">
    <cfRule type="cellIs" dxfId="5324" priority="5" operator="greaterThan">
      <formula>0</formula>
    </cfRule>
  </conditionalFormatting>
  <conditionalFormatting sqref="K183:K197">
    <cfRule type="cellIs" dxfId="5323" priority="294" operator="greaterThan">
      <formula>0</formula>
    </cfRule>
  </conditionalFormatting>
  <conditionalFormatting sqref="K199">
    <cfRule type="expression" dxfId="5322" priority="750">
      <formula>$B$9="PLN"</formula>
    </cfRule>
    <cfRule type="expression" dxfId="5321" priority="751">
      <formula>$B$9="CZK"</formula>
    </cfRule>
    <cfRule type="expression" dxfId="5320" priority="752">
      <formula>$B$9="USD"</formula>
    </cfRule>
    <cfRule type="expression" dxfId="5319" priority="753">
      <formula>$B$9="EURO"</formula>
    </cfRule>
  </conditionalFormatting>
  <conditionalFormatting sqref="L14:L27">
    <cfRule type="expression" dxfId="5318" priority="506">
      <formula>$C$9&gt;0</formula>
    </cfRule>
    <cfRule type="expression" dxfId="5317" priority="505">
      <formula>$C$9&lt;0</formula>
    </cfRule>
  </conditionalFormatting>
  <conditionalFormatting sqref="L31:L44">
    <cfRule type="expression" dxfId="5316" priority="116">
      <formula>$C$9&gt;0</formula>
    </cfRule>
    <cfRule type="expression" dxfId="5315" priority="115">
      <formula>$C$9&lt;0</formula>
    </cfRule>
  </conditionalFormatting>
  <conditionalFormatting sqref="L48:L61">
    <cfRule type="expression" dxfId="5314" priority="102">
      <formula>$C$9&gt;0</formula>
    </cfRule>
    <cfRule type="expression" dxfId="5313" priority="101">
      <formula>$C$9&lt;0</formula>
    </cfRule>
  </conditionalFormatting>
  <conditionalFormatting sqref="L65:L78">
    <cfRule type="expression" dxfId="5312" priority="87">
      <formula>$C$9&lt;0</formula>
    </cfRule>
    <cfRule type="expression" dxfId="5311" priority="88">
      <formula>$C$9&gt;0</formula>
    </cfRule>
  </conditionalFormatting>
  <conditionalFormatting sqref="L82:L95">
    <cfRule type="expression" dxfId="5310" priority="73">
      <formula>$C$9&lt;0</formula>
    </cfRule>
    <cfRule type="expression" dxfId="5309" priority="74">
      <formula>$C$9&gt;0</formula>
    </cfRule>
  </conditionalFormatting>
  <conditionalFormatting sqref="L99:L112">
    <cfRule type="expression" dxfId="5308" priority="60">
      <formula>$C$9&gt;0</formula>
    </cfRule>
    <cfRule type="expression" dxfId="5307" priority="59">
      <formula>$C$9&lt;0</formula>
    </cfRule>
  </conditionalFormatting>
  <conditionalFormatting sqref="L116:L129">
    <cfRule type="expression" dxfId="5306" priority="45">
      <formula>$C$9&lt;0</formula>
    </cfRule>
    <cfRule type="expression" dxfId="5305" priority="46">
      <formula>$C$9&gt;0</formula>
    </cfRule>
  </conditionalFormatting>
  <conditionalFormatting sqref="L133:L146">
    <cfRule type="expression" dxfId="5304" priority="32">
      <formula>$C$9&gt;0</formula>
    </cfRule>
    <cfRule type="expression" dxfId="5303" priority="31">
      <formula>$C$9&lt;0</formula>
    </cfRule>
  </conditionalFormatting>
  <conditionalFormatting sqref="L150:L163">
    <cfRule type="expression" dxfId="5302" priority="18">
      <formula>$C$9&gt;0</formula>
    </cfRule>
    <cfRule type="expression" dxfId="5301" priority="17">
      <formula>$C$9&lt;0</formula>
    </cfRule>
  </conditionalFormatting>
  <conditionalFormatting sqref="L167:L180">
    <cfRule type="expression" dxfId="5300" priority="3">
      <formula>$C$9&lt;0</formula>
    </cfRule>
    <cfRule type="expression" dxfId="5299" priority="4">
      <formula>$C$9&gt;0</formula>
    </cfRule>
  </conditionalFormatting>
  <conditionalFormatting sqref="L183:L197">
    <cfRule type="expression" dxfId="5298" priority="741">
      <formula>$C$9&gt;0</formula>
    </cfRule>
    <cfRule type="expression" dxfId="5297" priority="740">
      <formula>$C$9&lt;0</formula>
    </cfRule>
  </conditionalFormatting>
  <conditionalFormatting sqref="N9 N12">
    <cfRule type="expression" dxfId="5296" priority="787">
      <formula>$B$9="EURO"</formula>
    </cfRule>
    <cfRule type="expression" dxfId="5295" priority="786">
      <formula>$B$9="USD"</formula>
    </cfRule>
    <cfRule type="expression" dxfId="5294" priority="785">
      <formula>$B$9="CZK"</formula>
    </cfRule>
    <cfRule type="expression" dxfId="5293" priority="784">
      <formula>$B$9="PLN"</formula>
    </cfRule>
  </conditionalFormatting>
  <conditionalFormatting sqref="N14:N27">
    <cfRule type="expression" dxfId="5292" priority="726">
      <formula>$B$9="USD"</formula>
    </cfRule>
    <cfRule type="expression" dxfId="5291" priority="727">
      <formula>$B$9="PLN"</formula>
    </cfRule>
    <cfRule type="expression" dxfId="5290" priority="725">
      <formula>$B$9="EURO"</formula>
    </cfRule>
    <cfRule type="cellIs" dxfId="5289" priority="724" operator="greaterThan">
      <formula>0</formula>
    </cfRule>
    <cfRule type="expression" dxfId="5288" priority="728">
      <formula>$B$9="CZK"</formula>
    </cfRule>
  </conditionalFormatting>
  <conditionalFormatting sqref="N29">
    <cfRule type="expression" dxfId="5287" priority="708">
      <formula>$B$9="EURO"</formula>
    </cfRule>
    <cfRule type="expression" dxfId="5286" priority="707">
      <formula>$B$9="USD"</formula>
    </cfRule>
    <cfRule type="expression" dxfId="5285" priority="706">
      <formula>$B$9="CZK"</formula>
    </cfRule>
    <cfRule type="expression" dxfId="5284" priority="705">
      <formula>$B$9="PLN"</formula>
    </cfRule>
  </conditionalFormatting>
  <conditionalFormatting sqref="N31:N44">
    <cfRule type="expression" dxfId="5283" priority="122">
      <formula>$B$9="USD"</formula>
    </cfRule>
    <cfRule type="expression" dxfId="5282" priority="123">
      <formula>$B$9="PLN"</formula>
    </cfRule>
    <cfRule type="expression" dxfId="5281" priority="124">
      <formula>$B$9="CZK"</formula>
    </cfRule>
    <cfRule type="expression" dxfId="5280" priority="121">
      <formula>$B$9="EURO"</formula>
    </cfRule>
    <cfRule type="cellIs" dxfId="5279" priority="120" operator="greaterThan">
      <formula>0</formula>
    </cfRule>
  </conditionalFormatting>
  <conditionalFormatting sqref="N46">
    <cfRule type="expression" dxfId="5278" priority="676">
      <formula>$B$9="EURO"</formula>
    </cfRule>
    <cfRule type="expression" dxfId="5277" priority="675">
      <formula>$B$9="USD"</formula>
    </cfRule>
    <cfRule type="expression" dxfId="5276" priority="674">
      <formula>$B$9="CZK"</formula>
    </cfRule>
    <cfRule type="expression" dxfId="5275" priority="673">
      <formula>$B$9="PLN"</formula>
    </cfRule>
  </conditionalFormatting>
  <conditionalFormatting sqref="N48:N61">
    <cfRule type="expression" dxfId="5274" priority="109">
      <formula>$B$9="PLN"</formula>
    </cfRule>
    <cfRule type="expression" dxfId="5273" priority="110">
      <formula>$B$9="CZK"</formula>
    </cfRule>
    <cfRule type="expression" dxfId="5272" priority="108">
      <formula>$B$9="USD"</formula>
    </cfRule>
    <cfRule type="cellIs" dxfId="5271" priority="106" operator="greaterThan">
      <formula>0</formula>
    </cfRule>
    <cfRule type="expression" dxfId="5270" priority="107">
      <formula>$B$9="EURO"</formula>
    </cfRule>
  </conditionalFormatting>
  <conditionalFormatting sqref="N63">
    <cfRule type="expression" dxfId="5269" priority="643">
      <formula>$B$9="PLN"</formula>
    </cfRule>
    <cfRule type="expression" dxfId="5268" priority="644">
      <formula>$B$9="CZK"</formula>
    </cfRule>
    <cfRule type="expression" dxfId="5267" priority="645">
      <formula>$B$9="USD"</formula>
    </cfRule>
    <cfRule type="expression" dxfId="5266" priority="646">
      <formula>$B$9="EURO"</formula>
    </cfRule>
  </conditionalFormatting>
  <conditionalFormatting sqref="N65:N78">
    <cfRule type="expression" dxfId="5265" priority="96">
      <formula>$B$9="CZK"</formula>
    </cfRule>
    <cfRule type="expression" dxfId="5264" priority="95">
      <formula>$B$9="PLN"</formula>
    </cfRule>
    <cfRule type="expression" dxfId="5263" priority="94">
      <formula>$B$9="USD"</formula>
    </cfRule>
    <cfRule type="expression" dxfId="5262" priority="93">
      <formula>$B$9="EURO"</formula>
    </cfRule>
    <cfRule type="cellIs" dxfId="5261" priority="92" operator="greaterThan">
      <formula>0</formula>
    </cfRule>
  </conditionalFormatting>
  <conditionalFormatting sqref="N80">
    <cfRule type="expression" dxfId="5260" priority="613">
      <formula>$B$9="CZK"</formula>
    </cfRule>
    <cfRule type="expression" dxfId="5259" priority="615">
      <formula>$B$9="EURO"</formula>
    </cfRule>
    <cfRule type="expression" dxfId="5258" priority="612">
      <formula>$B$9="PLN"</formula>
    </cfRule>
    <cfRule type="expression" dxfId="5257" priority="614">
      <formula>$B$9="USD"</formula>
    </cfRule>
  </conditionalFormatting>
  <conditionalFormatting sqref="N82:N95">
    <cfRule type="cellIs" dxfId="5256" priority="78" operator="greaterThan">
      <formula>0</formula>
    </cfRule>
    <cfRule type="expression" dxfId="5255" priority="79">
      <formula>$B$9="EURO"</formula>
    </cfRule>
    <cfRule type="expression" dxfId="5254" priority="80">
      <formula>$B$9="USD"</formula>
    </cfRule>
    <cfRule type="expression" dxfId="5253" priority="81">
      <formula>$B$9="PLN"</formula>
    </cfRule>
    <cfRule type="expression" dxfId="5252" priority="82">
      <formula>$B$9="CZK"</formula>
    </cfRule>
  </conditionalFormatting>
  <conditionalFormatting sqref="N97">
    <cfRule type="expression" dxfId="5251" priority="583">
      <formula>$B$9="EURO"</formula>
    </cfRule>
    <cfRule type="expression" dxfId="5250" priority="581">
      <formula>$B$9="CZK"</formula>
    </cfRule>
    <cfRule type="expression" dxfId="5249" priority="580">
      <formula>$B$9="PLN"</formula>
    </cfRule>
    <cfRule type="expression" dxfId="5248" priority="582">
      <formula>$B$9="USD"</formula>
    </cfRule>
  </conditionalFormatting>
  <conditionalFormatting sqref="N99:N112">
    <cfRule type="expression" dxfId="5247" priority="68">
      <formula>$B$9="CZK"</formula>
    </cfRule>
    <cfRule type="expression" dxfId="5246" priority="67">
      <formula>$B$9="PLN"</formula>
    </cfRule>
    <cfRule type="expression" dxfId="5245" priority="66">
      <formula>$B$9="USD"</formula>
    </cfRule>
    <cfRule type="expression" dxfId="5244" priority="65">
      <formula>$B$9="EURO"</formula>
    </cfRule>
    <cfRule type="cellIs" dxfId="5243" priority="64" operator="greaterThan">
      <formula>0</formula>
    </cfRule>
  </conditionalFormatting>
  <conditionalFormatting sqref="N114">
    <cfRule type="expression" dxfId="5242" priority="357">
      <formula>$B$9="CZK"</formula>
    </cfRule>
    <cfRule type="expression" dxfId="5241" priority="356">
      <formula>$B$9="PLN"</formula>
    </cfRule>
    <cfRule type="expression" dxfId="5240" priority="358">
      <formula>$B$9="USD"</formula>
    </cfRule>
    <cfRule type="expression" dxfId="5239" priority="359">
      <formula>$B$9="EURO"</formula>
    </cfRule>
  </conditionalFormatting>
  <conditionalFormatting sqref="N116:N129">
    <cfRule type="expression" dxfId="5238" priority="54">
      <formula>$B$9="CZK"</formula>
    </cfRule>
    <cfRule type="expression" dxfId="5237" priority="53">
      <formula>$B$9="PLN"</formula>
    </cfRule>
    <cfRule type="expression" dxfId="5236" priority="52">
      <formula>$B$9="USD"</formula>
    </cfRule>
    <cfRule type="expression" dxfId="5235" priority="51">
      <formula>$B$9="EURO"</formula>
    </cfRule>
    <cfRule type="cellIs" dxfId="5234" priority="50" operator="greaterThan">
      <formula>0</formula>
    </cfRule>
  </conditionalFormatting>
  <conditionalFormatting sqref="N131">
    <cfRule type="expression" dxfId="5233" priority="290">
      <formula>$B$9="EURO"</formula>
    </cfRule>
    <cfRule type="expression" dxfId="5232" priority="289">
      <formula>$B$9="USD"</formula>
    </cfRule>
    <cfRule type="expression" dxfId="5231" priority="288">
      <formula>$B$9="CZK"</formula>
    </cfRule>
    <cfRule type="expression" dxfId="5230" priority="287">
      <formula>$B$9="PLN"</formula>
    </cfRule>
  </conditionalFormatting>
  <conditionalFormatting sqref="N133:N146">
    <cfRule type="expression" dxfId="5229" priority="40">
      <formula>$B$9="CZK"</formula>
    </cfRule>
    <cfRule type="expression" dxfId="5228" priority="39">
      <formula>$B$9="PLN"</formula>
    </cfRule>
    <cfRule type="expression" dxfId="5227" priority="38">
      <formula>$B$9="USD"</formula>
    </cfRule>
    <cfRule type="expression" dxfId="5226" priority="37">
      <formula>$B$9="EURO"</formula>
    </cfRule>
    <cfRule type="cellIs" dxfId="5225" priority="36" operator="greaterThan">
      <formula>0</formula>
    </cfRule>
  </conditionalFormatting>
  <conditionalFormatting sqref="N148">
    <cfRule type="expression" dxfId="5224" priority="235">
      <formula>$B$9="EURO"</formula>
    </cfRule>
    <cfRule type="expression" dxfId="5223" priority="232">
      <formula>$B$9="PLN"</formula>
    </cfRule>
    <cfRule type="expression" dxfId="5222" priority="233">
      <formula>$B$9="CZK"</formula>
    </cfRule>
    <cfRule type="expression" dxfId="5221" priority="234">
      <formula>$B$9="USD"</formula>
    </cfRule>
  </conditionalFormatting>
  <conditionalFormatting sqref="N150:N163">
    <cfRule type="expression" dxfId="5220" priority="26">
      <formula>$B$9="CZK"</formula>
    </cfRule>
    <cfRule type="expression" dxfId="5219" priority="24">
      <formula>$B$9="USD"</formula>
    </cfRule>
    <cfRule type="expression" dxfId="5218" priority="23">
      <formula>$B$9="EURO"</formula>
    </cfRule>
    <cfRule type="cellIs" dxfId="5217" priority="22" operator="greaterThan">
      <formula>0</formula>
    </cfRule>
    <cfRule type="expression" dxfId="5216" priority="25">
      <formula>$B$9="PLN"</formula>
    </cfRule>
  </conditionalFormatting>
  <conditionalFormatting sqref="N165">
    <cfRule type="expression" dxfId="5215" priority="177">
      <formula>$B$9="PLN"</formula>
    </cfRule>
    <cfRule type="expression" dxfId="5214" priority="180">
      <formula>$B$9="EURO"</formula>
    </cfRule>
    <cfRule type="expression" dxfId="5213" priority="179">
      <formula>$B$9="USD"</formula>
    </cfRule>
    <cfRule type="expression" dxfId="5212" priority="178">
      <formula>$B$9="CZK"</formula>
    </cfRule>
  </conditionalFormatting>
  <conditionalFormatting sqref="N167:N180">
    <cfRule type="expression" dxfId="5211" priority="9">
      <formula>$B$9="EURO"</formula>
    </cfRule>
    <cfRule type="expression" dxfId="5210" priority="11">
      <formula>$B$9="PLN"</formula>
    </cfRule>
    <cfRule type="expression" dxfId="5209" priority="12">
      <formula>$B$9="CZK"</formula>
    </cfRule>
    <cfRule type="cellIs" dxfId="5208" priority="8" operator="greaterThan">
      <formula>0</formula>
    </cfRule>
    <cfRule type="expression" dxfId="5207" priority="10">
      <formula>$B$9="USD"</formula>
    </cfRule>
  </conditionalFormatting>
  <conditionalFormatting sqref="N183:N197">
    <cfRule type="cellIs" dxfId="5206" priority="732" operator="greaterThan">
      <formula>0</formula>
    </cfRule>
    <cfRule type="expression" dxfId="5205" priority="734">
      <formula>$B$9="USD"</formula>
    </cfRule>
    <cfRule type="expression" dxfId="5204" priority="735">
      <formula>$B$9="PLN"</formula>
    </cfRule>
    <cfRule type="expression" dxfId="5203" priority="736">
      <formula>$B$9="CZK"</formula>
    </cfRule>
    <cfRule type="expression" dxfId="5202" priority="733">
      <formula>$B$9="EURO"</formula>
    </cfRule>
  </conditionalFormatting>
  <conditionalFormatting sqref="N182:O182">
    <cfRule type="expression" dxfId="5201" priority="742">
      <formula>$B$9="PLN"</formula>
    </cfRule>
    <cfRule type="expression" dxfId="5200" priority="745">
      <formula>$B$9="EURO"</formula>
    </cfRule>
    <cfRule type="expression" dxfId="5199" priority="744">
      <formula>$B$9="USD"</formula>
    </cfRule>
    <cfRule type="expression" dxfId="5198" priority="743">
      <formula>$B$9="CZK"</formula>
    </cfRule>
  </conditionalFormatting>
  <conditionalFormatting sqref="O14:O27">
    <cfRule type="cellIs" dxfId="5197" priority="729" operator="greaterThan">
      <formula>0</formula>
    </cfRule>
  </conditionalFormatting>
  <conditionalFormatting sqref="O31:O44">
    <cfRule type="cellIs" dxfId="5196" priority="125" operator="greaterThan">
      <formula>0</formula>
    </cfRule>
  </conditionalFormatting>
  <conditionalFormatting sqref="O48:O61">
    <cfRule type="cellIs" dxfId="5195" priority="111" operator="greaterThan">
      <formula>0</formula>
    </cfRule>
  </conditionalFormatting>
  <conditionalFormatting sqref="O65:O78">
    <cfRule type="cellIs" dxfId="5194" priority="97" operator="greaterThan">
      <formula>0</formula>
    </cfRule>
  </conditionalFormatting>
  <conditionalFormatting sqref="O82:O95">
    <cfRule type="cellIs" dxfId="5193" priority="83" operator="greaterThan">
      <formula>0</formula>
    </cfRule>
  </conditionalFormatting>
  <conditionalFormatting sqref="O99:O112">
    <cfRule type="cellIs" dxfId="5192" priority="69" operator="greaterThan">
      <formula>0</formula>
    </cfRule>
  </conditionalFormatting>
  <conditionalFormatting sqref="O116:O129">
    <cfRule type="cellIs" dxfId="5191" priority="55" operator="greaterThan">
      <formula>0</formula>
    </cfRule>
  </conditionalFormatting>
  <conditionalFormatting sqref="O133:O146">
    <cfRule type="cellIs" dxfId="5190" priority="41" operator="greaterThan">
      <formula>0</formula>
    </cfRule>
  </conditionalFormatting>
  <conditionalFormatting sqref="O150:O163">
    <cfRule type="cellIs" dxfId="5189" priority="27" operator="greaterThan">
      <formula>0</formula>
    </cfRule>
  </conditionalFormatting>
  <conditionalFormatting sqref="O167:O180">
    <cfRule type="cellIs" dxfId="5188" priority="13" operator="greaterThan">
      <formula>0</formula>
    </cfRule>
  </conditionalFormatting>
  <conditionalFormatting sqref="O183:O197">
    <cfRule type="cellIs" dxfId="5187" priority="755" operator="greaterThan">
      <formula>0</formula>
    </cfRule>
  </conditionalFormatting>
  <conditionalFormatting sqref="Q16">
    <cfRule type="expression" dxfId="5186" priority="498">
      <formula>$B$9="PLN"</formula>
    </cfRule>
    <cfRule type="expression" dxfId="5185" priority="497">
      <formula>$B$9="USD"</formula>
    </cfRule>
    <cfRule type="expression" dxfId="5184" priority="496">
      <formula>$B$9="EURO"</formula>
    </cfRule>
    <cfRule type="cellIs" dxfId="5183" priority="495" operator="greaterThan">
      <formula>0</formula>
    </cfRule>
    <cfRule type="expression" dxfId="5182" priority="499">
      <formula>$B$9="CZK"</formula>
    </cfRule>
  </conditionalFormatting>
  <dataValidations count="18">
    <dataValidation type="list" allowBlank="1" showInputMessage="1" showErrorMessage="1" sqref="D26 D43 D60 D77 D94 D111 D128 D145 D162 D179" xr:uid="{00000000-0002-0000-0100-000000000000}">
      <formula1>"0,1,2,3,4,5,6,7,8,9,10"</formula1>
    </dataValidation>
    <dataValidation type="list" allowBlank="1" showInputMessage="1" showErrorMessage="1" sqref="G181" xr:uid="{00000000-0002-0000-0100-000001000000}">
      <formula1>#REF!</formula1>
    </dataValidation>
    <dataValidation type="list" allowBlank="1" showInputMessage="1" showErrorMessage="1" sqref="C14 C31 C48 C65 C82 C99 C116 C133 C150 C167" xr:uid="{00000000-0002-0000-0100-000002000000}">
      <formula1>"WALL, ISLAND"</formula1>
    </dataValidation>
    <dataValidation operator="greaterThan" allowBlank="1" showInputMessage="1" showErrorMessage="1" sqref="E14 E31 E48 E65 E82 E99 E116 E133 E150 E167" xr:uid="{00000000-0002-0000-0100-000003000000}"/>
    <dataValidation type="list" allowBlank="1" showInputMessage="1" showErrorMessage="1" sqref="C20:C21 C37:C38 C54:C55 C71:C72 C88:C89 C105:C106 C122:C123 C139:C140 C156:C157 C173:C174" xr:uid="{00000000-0002-0000-0100-000004000000}">
      <formula1>"0,1,2,3,4,5,6,7,8,9,10,11,12,13,14,15,16,17,18,19,20"</formula1>
    </dataValidation>
    <dataValidation type="list" allowBlank="1" showInputMessage="1" showErrorMessage="1" errorTitle="Minimum number of sections " error="Must be greater than zero" sqref="H14 H31 H48 H65 H82 H99 H116 H133 H150 H167" xr:uid="{00000000-0002-0000-0100-000005000000}">
      <formula1>"1,2,3,4,5,6,7,8,9,10"</formula1>
    </dataValidation>
    <dataValidation type="list" allowBlank="1" showInputMessage="1" showErrorMessage="1" sqref="C27 C44 C61 C78 C95 C112 C129 C146 C163 C180" xr:uid="{00000000-0002-0000-0100-000006000000}">
      <formula1>"0,0.5,1,1.5,2,2.5,3,3.5,4,4.5,5"</formula1>
    </dataValidation>
    <dataValidation type="list" allowBlank="1" sqref="C15 C32 C49 C66 C83 C100 C117 C134 C151 C168" xr:uid="{00000000-0002-0000-0100-000007000000}">
      <formula1>"LIGHT SELECTION,LED STRIP L6 Inc DALI,LED STRIP L12 Inc DALI,LED STRIP L18 Inc DALI,LED STRIP L6EM,LED STRIP L12EM,LED STRIP L18EM,LM6,LM12,LM18,Small LED Spots Inc DALI,Large LED Spots Inc DALI,HCL600 DALI,HCL1200 DALI,HCL1800 DALI,EL215,EL218"</formula1>
    </dataValidation>
    <dataValidation type="list" allowBlank="1" sqref="C16 C17 C18 C33 C34 C35 C50 C51 C52 C67 C68 C69 C84 C85 C86 C101 C102 C103 C118 C119 C120 C135 C136 C137 C152 C153 C154 C169 C170 C171" xr:uid="{00000000-0002-0000-0100-000008000000}">
      <formula1>$AA$317:$AA$333</formula1>
    </dataValidation>
    <dataValidation type="list" allowBlank="1" sqref="D16 D33 D50 D67 D84 D101 D118 D135 D152 D169" xr:uid="{00000000-0002-0000-0100-000009000000}">
      <formula1>"Standard Stainless Steel,Brushed Stainless Steel,Painted Steel,Galvanized Steel,Aluminum Composite,No Cladding"</formula1>
    </dataValidation>
    <dataValidation type="list" allowBlank="1" sqref="C19 C36 C53 C70 C87 C104 C121 C138 C155 C172" xr:uid="{00000000-0002-0000-0100-00000A000000}">
      <formula1>",2M² (HFL)"</formula1>
    </dataValidation>
    <dataValidation type="list" allowBlank="1" sqref="S20 S37 S54 S71 S88 S105 S122 S139 S156 S173" xr:uid="{00000000-0002-0000-0100-00000B000000}">
      <formula1>",Rear,Left,Right,Front,Rear and Left,Rear and Right,Rear and Front,Left and Right,Left and Front,Right and Front,Rear and Left and Right,Rear and Left and Front,Rear and Right and Front,Left and Right and Front,All Sides"</formula1>
    </dataValidation>
    <dataValidation type="list" allowBlank="1" sqref="C25 C42 C59 C76 C93 C110 C127 C144 C161 C178" xr:uid="{00000000-0002-0000-0100-00000C000000}">
      <formula1>",CP1S,CP2S,CP3S,CP4S"</formula1>
    </dataValidation>
    <dataValidation type="list" allowBlank="1" sqref="C26 C43 C60 C77 C94 C111 C128 C145 C162 C179" xr:uid="{00000000-0002-0000-0100-00000D000000}">
      <formula1>",1000-S,1500-S,2000-S,2500-S,3000-S,1000-D,1500-D,2000-D,2500-D,3000-D"</formula1>
    </dataValidation>
    <dataValidation type="list" allowBlank="1" sqref="D184 D185" xr:uid="{00000000-0002-0000-0100-00000E000000}">
      <formula1>",SL10 GENIE,EXTENSION FORKS,2.5M COMBI LADDER,1.5M PODIUM,3M TOWER,COMBI LADDER,PECO LIFT,3M YOUNGMAN BOARD,GS1930 SCISSOR LIFT,4-6 SHERASCOPIC,7-9 SHERASCOPIC"</formula1>
    </dataValidation>
    <dataValidation type="list" allowBlank="1" sqref="C14 C31 C48 C65 C82 C99 C116 C133 C150 C167" xr:uid="{00000000-0002-0000-0100-00000F000000}">
      <formula1>"Wall,Island,Single,Double,Corner"</formula1>
    </dataValidation>
    <dataValidation type="list" allowBlank="1" sqref="D14 D31 D48 D65 D82 D99 D116 D133 D150 D167" xr:uid="{00000000-0002-0000-0100-000010000000}">
      <formula1>"KVF,UVF,CMWF,CMWI,KVI,UVI,CXW,KVX,KVX-M,UVX,UVX-M,UV-C POD,CXW-M,KVV"</formula1>
    </dataValidation>
    <dataValidation type="list" allowBlank="1" sqref="D183" xr:uid="{00000000-0002-0000-0100-000011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1" orientation="portrait"/>
  <headerFooter alignWithMargins="0">
    <oddFooter>&amp;L&amp;8 &amp;Z&amp;F</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92D050"/>
    <pageSetUpPr fitToPage="1"/>
  </sheetPr>
  <dimension ref="A1:AB592"/>
  <sheetViews>
    <sheetView showGridLines="0" tabSelected="1" zoomScale="80" zoomScaleNormal="80" zoomScaleSheetLayoutView="50" workbookViewId="0">
      <selection activeCell="C17" sqref="C17"/>
    </sheetView>
  </sheetViews>
  <sheetFormatPr baseColWidth="10" defaultColWidth="8.83203125" defaultRowHeight="15" customHeight="1" outlineLevelRow="1" x14ac:dyDescent="0.15"/>
  <cols>
    <col min="1" max="1" width="2" style="568" customWidth="1"/>
    <col min="2" max="2" width="32.33203125" style="575" customWidth="1"/>
    <col min="3" max="3" width="25.83203125" style="575" bestFit="1" customWidth="1"/>
    <col min="4" max="4" width="27.1640625" style="575" customWidth="1"/>
    <col min="5" max="5" width="24.83203125" style="575" customWidth="1"/>
    <col min="6" max="6" width="18.83203125" style="575" customWidth="1"/>
    <col min="7" max="7" width="20.33203125" style="575" customWidth="1"/>
    <col min="8" max="8" width="9.33203125" style="602" bestFit="1" customWidth="1"/>
    <col min="9" max="9" width="11.83203125" style="602" customWidth="1"/>
    <col min="10" max="10" width="14.83203125" style="603" bestFit="1" customWidth="1"/>
    <col min="11" max="11" width="17.5" style="593" customWidth="1"/>
    <col min="12" max="12" width="7.6640625" style="593" bestFit="1" customWidth="1"/>
    <col min="13" max="13" width="15.5" style="600" hidden="1" customWidth="1"/>
    <col min="14" max="14" width="13.5" style="603" customWidth="1"/>
    <col min="15" max="15" width="16.1640625" style="588" bestFit="1" customWidth="1"/>
    <col min="16" max="16" width="15.5" style="575" customWidth="1"/>
    <col min="17" max="24" width="8.83203125" style="575" customWidth="1"/>
    <col min="25" max="25" width="8.83203125" style="578" customWidth="1"/>
    <col min="26" max="27" width="8.83203125" style="575" customWidth="1"/>
    <col min="28" max="28" width="8.83203125" style="670" customWidth="1"/>
    <col min="29" max="98" width="8.83203125" style="575" customWidth="1"/>
    <col min="99" max="16384" width="8.83203125" style="575"/>
  </cols>
  <sheetData>
    <row r="1" spans="1:26" ht="15" customHeight="1" x14ac:dyDescent="0.15">
      <c r="B1" s="953" t="s">
        <v>328</v>
      </c>
      <c r="C1" s="941"/>
      <c r="D1" s="569"/>
      <c r="E1" s="569"/>
      <c r="F1" s="569"/>
      <c r="G1" s="569"/>
      <c r="H1" s="570"/>
      <c r="I1" s="570"/>
      <c r="J1" s="571"/>
      <c r="K1" s="572"/>
      <c r="L1" s="573"/>
      <c r="M1" s="574"/>
      <c r="N1" s="571"/>
      <c r="O1" s="853" t="s">
        <v>48</v>
      </c>
      <c r="Q1" s="576"/>
      <c r="R1" s="577"/>
    </row>
    <row r="2" spans="1:26" ht="15" customHeight="1" x14ac:dyDescent="0.15">
      <c r="B2" s="579"/>
      <c r="C2" s="580"/>
      <c r="D2" s="580"/>
      <c r="F2" s="579"/>
      <c r="G2" s="581"/>
      <c r="H2" s="582"/>
      <c r="I2" s="582"/>
      <c r="J2" s="583"/>
      <c r="K2" s="584"/>
      <c r="L2" s="585"/>
      <c r="M2" s="586"/>
      <c r="N2" s="587" t="s">
        <v>329</v>
      </c>
      <c r="R2" s="589"/>
      <c r="W2" s="590"/>
    </row>
    <row r="3" spans="1:26" ht="15" customHeight="1" x14ac:dyDescent="0.15">
      <c r="B3" s="591" t="s">
        <v>2</v>
      </c>
      <c r="C3" s="938" t="s">
        <v>3</v>
      </c>
      <c r="D3" s="941"/>
      <c r="F3" s="592" t="s">
        <v>4</v>
      </c>
      <c r="G3" s="935" t="s">
        <v>5</v>
      </c>
      <c r="H3" s="943"/>
      <c r="I3" s="943"/>
      <c r="J3" s="945"/>
      <c r="L3" s="585"/>
      <c r="M3" s="586"/>
      <c r="N3" s="587"/>
      <c r="R3" s="589"/>
    </row>
    <row r="4" spans="1:26" ht="15" customHeight="1" x14ac:dyDescent="0.15">
      <c r="B4" s="579"/>
      <c r="C4" s="594"/>
      <c r="D4" s="594"/>
      <c r="F4" s="581"/>
      <c r="G4" s="582"/>
      <c r="H4" s="595"/>
      <c r="I4" s="595"/>
      <c r="J4" s="584"/>
      <c r="L4" s="585"/>
      <c r="M4" s="586"/>
      <c r="N4" s="587"/>
      <c r="R4" s="589"/>
    </row>
    <row r="5" spans="1:26" ht="15" customHeight="1" x14ac:dyDescent="0.15">
      <c r="B5" s="591" t="s">
        <v>6</v>
      </c>
      <c r="C5" s="938" t="s">
        <v>7</v>
      </c>
      <c r="D5" s="941"/>
      <c r="F5" s="592" t="s">
        <v>8</v>
      </c>
      <c r="G5" s="935" t="s">
        <v>9</v>
      </c>
      <c r="H5" s="943"/>
      <c r="I5" s="943"/>
      <c r="J5" s="945"/>
      <c r="M5" s="586"/>
      <c r="N5" s="587"/>
      <c r="P5" s="596"/>
      <c r="R5" s="589"/>
      <c r="S5" s="590"/>
    </row>
    <row r="6" spans="1:26" ht="15" customHeight="1" x14ac:dyDescent="0.15">
      <c r="B6" s="591"/>
      <c r="C6" s="597"/>
      <c r="D6" s="597"/>
      <c r="F6" s="592"/>
      <c r="G6" s="582"/>
      <c r="H6" s="579"/>
      <c r="I6" s="579"/>
      <c r="J6" s="598"/>
      <c r="L6" s="585"/>
      <c r="M6" s="586"/>
      <c r="N6" s="587"/>
      <c r="P6" s="596"/>
      <c r="R6" s="589"/>
      <c r="S6" s="590"/>
      <c r="Y6" s="599"/>
    </row>
    <row r="7" spans="1:26" ht="15" customHeight="1" x14ac:dyDescent="0.15">
      <c r="B7" s="576" t="s">
        <v>10</v>
      </c>
      <c r="C7" s="938" t="s">
        <v>11</v>
      </c>
      <c r="D7" s="941"/>
      <c r="F7" s="592" t="s">
        <v>12</v>
      </c>
      <c r="G7" s="939" t="s">
        <v>13</v>
      </c>
      <c r="H7" s="943"/>
      <c r="I7" s="943"/>
      <c r="J7" s="945"/>
      <c r="N7" s="601" t="s">
        <v>14</v>
      </c>
      <c r="O7" s="788"/>
      <c r="P7" s="596"/>
      <c r="R7" s="589"/>
      <c r="S7" s="590"/>
      <c r="Y7" s="599"/>
    </row>
    <row r="8" spans="1:26" ht="15" customHeight="1" x14ac:dyDescent="0.15">
      <c r="D8" s="578"/>
      <c r="E8" s="578"/>
      <c r="G8" s="578"/>
      <c r="J8" s="600"/>
      <c r="K8" s="588"/>
      <c r="P8" s="596"/>
      <c r="R8" s="589"/>
      <c r="Y8" s="599"/>
    </row>
    <row r="9" spans="1:26" s="576" customFormat="1" ht="15" customHeight="1" x14ac:dyDescent="0.15">
      <c r="A9" s="568"/>
      <c r="B9" s="604" t="s">
        <v>15</v>
      </c>
      <c r="C9" s="833">
        <v>0</v>
      </c>
      <c r="D9" s="699">
        <f>IF(C9=0,0,(SUBTOTAL(9,M14:M197)/(1-C9))-M9)</f>
        <v>0</v>
      </c>
      <c r="E9" s="954"/>
      <c r="F9" s="955"/>
      <c r="G9" s="965"/>
      <c r="H9" s="955"/>
      <c r="I9" s="955"/>
      <c r="J9" s="955"/>
      <c r="K9" s="605">
        <f>SUBTOTAL(9,K12:K197)</f>
        <v>5537.3</v>
      </c>
      <c r="L9" s="847">
        <f>IF(O9=0,"-",O9/M9)</f>
        <v>0.30206909304099983</v>
      </c>
      <c r="M9" s="605">
        <f>SUBTOTAL(9,M12:M197)</f>
        <v>7933.8799081515499</v>
      </c>
      <c r="N9" s="607">
        <f>SUBTOTAL(9,N12:N197)</f>
        <v>7933.8799081515499</v>
      </c>
      <c r="O9" s="605">
        <f>SUBTOTAL(9,O12:O197)</f>
        <v>2396.5799081515497</v>
      </c>
      <c r="P9" s="575"/>
      <c r="Q9" s="575"/>
      <c r="R9" s="575"/>
      <c r="S9" s="575"/>
      <c r="T9" s="575"/>
      <c r="X9" s="575"/>
      <c r="Y9" s="575"/>
      <c r="Z9" s="575"/>
    </row>
    <row r="10" spans="1:26" s="576" customFormat="1" ht="15" customHeight="1" x14ac:dyDescent="0.15">
      <c r="A10" s="568"/>
      <c r="B10" s="608" t="s">
        <v>15</v>
      </c>
      <c r="C10" s="608" t="s">
        <v>16</v>
      </c>
      <c r="D10" s="608" t="s">
        <v>17</v>
      </c>
      <c r="E10" s="608"/>
      <c r="F10" s="608"/>
      <c r="G10" s="608"/>
      <c r="H10" s="608"/>
      <c r="I10" s="609"/>
      <c r="J10" s="610" t="s">
        <v>52</v>
      </c>
      <c r="K10" s="611" t="s">
        <v>18</v>
      </c>
      <c r="L10" s="612" t="s">
        <v>19</v>
      </c>
      <c r="M10" s="613" t="s">
        <v>20</v>
      </c>
      <c r="N10" s="610" t="s">
        <v>21</v>
      </c>
      <c r="O10" s="614" t="s">
        <v>22</v>
      </c>
      <c r="P10" s="575"/>
      <c r="Q10" s="575"/>
      <c r="R10" s="575"/>
      <c r="S10" s="615"/>
      <c r="T10" s="575"/>
      <c r="X10" s="575"/>
      <c r="Y10" s="575"/>
      <c r="Z10" s="575"/>
    </row>
    <row r="11" spans="1:26" s="576" customFormat="1" ht="15" customHeight="1" x14ac:dyDescent="0.15">
      <c r="A11" s="568"/>
      <c r="B11" s="616"/>
      <c r="C11" s="617"/>
      <c r="D11" s="617"/>
      <c r="E11" s="617"/>
      <c r="F11" s="617"/>
      <c r="G11" s="618" t="s">
        <v>23</v>
      </c>
      <c r="H11" s="617"/>
      <c r="I11" s="618">
        <f>IF(ISNUMBER(SEARCH("UV",D14)),49.7,71.75)</f>
        <v>71.75</v>
      </c>
      <c r="J11" s="619"/>
      <c r="K11" s="616"/>
      <c r="L11" s="620"/>
      <c r="M11" s="621"/>
      <c r="N11" s="619"/>
      <c r="O11" s="588"/>
      <c r="P11" s="575"/>
      <c r="Q11" s="575"/>
      <c r="R11" s="575"/>
      <c r="S11" s="615"/>
      <c r="T11" s="575"/>
      <c r="X11" s="575"/>
      <c r="Y11" s="575"/>
      <c r="Z11" s="575"/>
    </row>
    <row r="12" spans="1:26" s="576" customFormat="1" ht="15" customHeight="1" x14ac:dyDescent="0.15">
      <c r="A12" s="568"/>
      <c r="B12" s="176" t="s">
        <v>1451</v>
      </c>
      <c r="C12" s="622">
        <f>IF(H12&lt;1,0,(((VLOOKUP(G12,CC!$D$2:$F$670,3,FALSE))*H12)+IF(ISNUMBER(SEARCH("CMW",D14)),VLOOKUP(C25,CCBASE!$A$81:$C$85,3,FALSE),0)+(VLOOKUP(C17,CCBASE!$A$53:$C$73,3,FALSE)*D17)+(VLOOKUP(C18,CCBASE!$A$53:$C$73,3,FALSE)*D18))&amp;" HRS")</f>
        <v>0</v>
      </c>
      <c r="D12" s="623" t="str">
        <f>D14</f>
        <v>CANOPY TYPE</v>
      </c>
      <c r="E12" s="604">
        <f>CEILING(IF(C14="WALL",E14, (E14/2)),250)</f>
        <v>0</v>
      </c>
      <c r="F12" s="604">
        <f>IF(H12&lt;1,0,CEILING((F14-100)/H14,250))</f>
        <v>0</v>
      </c>
      <c r="G12" s="623" t="str">
        <f>D12&amp;F12&amp;E12</f>
        <v>CANOPY TYPE00</v>
      </c>
      <c r="H12" s="622">
        <f>IF(E14=0,0,IF(F14=0,0,(E14/(IF(C14="WALL",E14,(E14/2)))*H14)))</f>
        <v>0</v>
      </c>
      <c r="I12" s="622" t="str">
        <f>I14&amp;" m³/s"</f>
        <v xml:space="preserve"> m³/s</v>
      </c>
      <c r="J12" s="624"/>
      <c r="K12" s="625">
        <f>SUBTOTAL(9,K14:K27)</f>
        <v>4481.05</v>
      </c>
      <c r="L12" s="606">
        <f>IF(K12=0,"-",O12/M12)</f>
        <v>0.28086234325015863</v>
      </c>
      <c r="M12" s="625">
        <f>SUBTOTAL(9,M14:M27)</f>
        <v>6231.1435897435895</v>
      </c>
      <c r="N12" s="607">
        <f>SUBTOTAL(9,N14:N27)</f>
        <v>6231.1435897435895</v>
      </c>
      <c r="O12" s="625">
        <f>SUBTOTAL(9,O14:O27)</f>
        <v>1750.0935897435895</v>
      </c>
      <c r="P12" s="575"/>
      <c r="Q12" s="575"/>
      <c r="R12" s="575"/>
      <c r="S12" s="615"/>
      <c r="T12" s="575"/>
      <c r="X12" s="575"/>
      <c r="Y12" s="575"/>
      <c r="Z12" s="575"/>
    </row>
    <row r="13" spans="1:26" ht="15" customHeight="1" outlineLevel="1" x14ac:dyDescent="0.15">
      <c r="B13" s="626"/>
      <c r="C13" s="627" t="s">
        <v>54</v>
      </c>
      <c r="D13" s="628" t="s">
        <v>55</v>
      </c>
      <c r="E13" s="627" t="s">
        <v>56</v>
      </c>
      <c r="F13" s="627" t="s">
        <v>57</v>
      </c>
      <c r="G13" s="627" t="s">
        <v>58</v>
      </c>
      <c r="H13" s="627" t="s">
        <v>59</v>
      </c>
      <c r="I13" s="628" t="s">
        <v>60</v>
      </c>
      <c r="J13" s="629"/>
      <c r="K13" s="630"/>
      <c r="L13" s="630"/>
      <c r="M13" s="631"/>
      <c r="N13" s="632"/>
      <c r="O13" s="614"/>
      <c r="S13" s="596"/>
      <c r="Y13" s="575"/>
    </row>
    <row r="14" spans="1:26" ht="15" customHeight="1" outlineLevel="1" x14ac:dyDescent="0.2">
      <c r="B14" s="204" t="s">
        <v>61</v>
      </c>
      <c r="C14" s="634" t="s">
        <v>62</v>
      </c>
      <c r="D14" s="737" t="s">
        <v>87</v>
      </c>
      <c r="E14" s="636"/>
      <c r="F14" s="636"/>
      <c r="G14" s="636"/>
      <c r="H14" s="637"/>
      <c r="I14" s="636"/>
      <c r="J14" s="638">
        <f>IF(ISNA(C12),0,IF(F12&gt;3000,0,(IF(H12&lt;1,0,((VLOOKUP(G12,CC!$D$2:$E$670,2,FALSE))*H12)+((VLOOKUP(G12,CC!$D$2:$AD$670,17,FALSE)*(H12/H14)))))))</f>
        <v>0</v>
      </c>
      <c r="K14" s="639">
        <f>J14*1</f>
        <v>0</v>
      </c>
      <c r="L14" s="640">
        <v>0.44</v>
      </c>
      <c r="M14" s="641">
        <f t="shared" ref="M14:M27" si="0">K14/(1-L14)*(1+$C$9)</f>
        <v>0</v>
      </c>
      <c r="N14" s="639">
        <f>M14*VLOOKUP($B$9,'Base Costs'!$A$32:$B$37,2,FALSE)</f>
        <v>0</v>
      </c>
      <c r="O14" s="642">
        <f t="shared" ref="O14:O27" si="1">M14-K14</f>
        <v>0</v>
      </c>
      <c r="S14" s="596"/>
      <c r="Y14" s="575"/>
    </row>
    <row r="15" spans="1:26" ht="15" customHeight="1" outlineLevel="1" x14ac:dyDescent="0.15">
      <c r="A15" s="568">
        <v>104</v>
      </c>
      <c r="B15" s="633" t="s">
        <v>64</v>
      </c>
      <c r="C15" s="635" t="s">
        <v>65</v>
      </c>
      <c r="D15" s="643"/>
      <c r="E15" s="735"/>
      <c r="F15" s="645"/>
      <c r="G15" s="646"/>
      <c r="H15" s="570"/>
      <c r="I15" s="570"/>
      <c r="J15" s="638">
        <f>IF(ISNA(C12),0,IF(D15=0,0,IF(C15="FLO",VLOOKUP(E15,'Base Costs'!$M$4:$N$12,2,FALSE),IF(C15="LED STRIP",VLOOKUP(E15,'Base Costs'!$M$4:$N$12,2,FALSE),(VLOOKUP(C15,'Base Costs'!$M$4:$N$12,2,FALSE))))))</f>
        <v>0</v>
      </c>
      <c r="K15" s="639">
        <f>J15*D15</f>
        <v>0</v>
      </c>
      <c r="L15" s="640">
        <v>0.31</v>
      </c>
      <c r="M15" s="641">
        <f t="shared" si="0"/>
        <v>0</v>
      </c>
      <c r="N15" s="639">
        <f>M15*VLOOKUP($B$9,'Base Costs'!$A$32:$B$37,2,FALSE)</f>
        <v>0</v>
      </c>
      <c r="O15" s="642">
        <f t="shared" si="1"/>
        <v>0</v>
      </c>
      <c r="P15" s="647"/>
      <c r="S15" s="596"/>
      <c r="Y15" s="575"/>
    </row>
    <row r="16" spans="1:26" ht="15" customHeight="1" outlineLevel="1" x14ac:dyDescent="0.15">
      <c r="A16" s="568">
        <v>234</v>
      </c>
      <c r="B16" s="204" t="s">
        <v>330</v>
      </c>
      <c r="C16" s="834" t="s">
        <v>351</v>
      </c>
      <c r="D16" s="648"/>
      <c r="E16" s="698"/>
      <c r="F16" s="650"/>
      <c r="G16" s="651"/>
      <c r="H16" s="652"/>
      <c r="I16" s="653">
        <v>1</v>
      </c>
      <c r="J16" s="638">
        <f>VLOOKUP(C16,'Base Costs'!$U$4:$V$41,2,FALSE)</f>
        <v>3231.05</v>
      </c>
      <c r="K16" s="639">
        <f>J16*1</f>
        <v>3231.05</v>
      </c>
      <c r="L16" s="640">
        <v>0.25</v>
      </c>
      <c r="M16" s="641">
        <f t="shared" si="0"/>
        <v>4308.0666666666666</v>
      </c>
      <c r="N16" s="639">
        <f>M16*VLOOKUP($B$9,'Base Costs'!$A$32:$B$37,2,FALSE)</f>
        <v>4308.0666666666666</v>
      </c>
      <c r="O16" s="642">
        <f t="shared" si="1"/>
        <v>1077.0166666666664</v>
      </c>
      <c r="P16" s="647"/>
      <c r="Q16" s="807"/>
      <c r="S16" s="596"/>
      <c r="Y16" s="575"/>
    </row>
    <row r="17" spans="1:26" ht="15" customHeight="1" outlineLevel="1" x14ac:dyDescent="0.15">
      <c r="B17" s="204" t="s">
        <v>332</v>
      </c>
      <c r="C17" s="834" t="s">
        <v>1082</v>
      </c>
      <c r="D17" s="844">
        <v>1</v>
      </c>
      <c r="E17" s="655"/>
      <c r="F17" s="656"/>
      <c r="G17" s="651"/>
      <c r="H17" s="652"/>
      <c r="I17" s="657"/>
      <c r="J17" s="638">
        <f>VLOOKUP(C17,'Base Costs'!$U$44:$V$56,2,FALSE)</f>
        <v>1250</v>
      </c>
      <c r="K17" s="639">
        <f>J17*D17</f>
        <v>1250</v>
      </c>
      <c r="L17" s="640">
        <v>0.35</v>
      </c>
      <c r="M17" s="641">
        <f t="shared" si="0"/>
        <v>1923.0769230769231</v>
      </c>
      <c r="N17" s="639">
        <f>M17*VLOOKUP($B$9,'Base Costs'!$A$32:$B$37,2,FALSE)</f>
        <v>1923.0769230769231</v>
      </c>
      <c r="O17" s="642">
        <f t="shared" si="1"/>
        <v>673.07692307692309</v>
      </c>
      <c r="P17" s="738"/>
      <c r="S17" s="596"/>
      <c r="Y17" s="575"/>
    </row>
    <row r="18" spans="1:26" ht="15" customHeight="1" outlineLevel="1" x14ac:dyDescent="0.15">
      <c r="B18" s="204" t="s">
        <v>66</v>
      </c>
      <c r="C18" s="654" t="s">
        <v>67</v>
      </c>
      <c r="D18" s="637"/>
      <c r="E18" s="655" t="str">
        <f>IF(C18="","",VLOOKUP(C18,CCBASE!$A$53:$D$73,4,FALSE))</f>
        <v/>
      </c>
      <c r="F18" s="656"/>
      <c r="G18" s="651"/>
      <c r="H18" s="652"/>
      <c r="I18" s="657"/>
      <c r="J18" s="638">
        <f>IF(C18="",0,VLOOKUP(C18,CCBASE!$A$53:$C$73,2,FALSE))</f>
        <v>0</v>
      </c>
      <c r="K18" s="639">
        <f>J18*D18</f>
        <v>0</v>
      </c>
      <c r="L18" s="640">
        <v>0.44</v>
      </c>
      <c r="M18" s="641">
        <f t="shared" si="0"/>
        <v>0</v>
      </c>
      <c r="N18" s="639">
        <f>M18*VLOOKUP($B$9,'Base Costs'!$A$32:$B$37,2,FALSE)</f>
        <v>0</v>
      </c>
      <c r="O18" s="642">
        <f t="shared" si="1"/>
        <v>0</v>
      </c>
      <c r="S18" s="596"/>
      <c r="Y18" s="575"/>
    </row>
    <row r="19" spans="1:26" ht="15" customHeight="1" outlineLevel="1" x14ac:dyDescent="0.15">
      <c r="A19" s="568">
        <v>289</v>
      </c>
      <c r="B19" s="633" t="s">
        <v>71</v>
      </c>
      <c r="C19" s="654" t="s">
        <v>72</v>
      </c>
      <c r="D19" s="658">
        <f>ROUNDUP($F14/1000,0)</f>
        <v>0</v>
      </c>
      <c r="E19" s="950" t="s">
        <v>73</v>
      </c>
      <c r="F19" s="941"/>
      <c r="G19" s="656"/>
      <c r="H19" s="652"/>
      <c r="I19" s="657"/>
      <c r="J19" s="638">
        <f>IF(D19=0,0,VLOOKUP(C19,'Base Costs'!$A$19:$B$22,2,FALSE))</f>
        <v>0</v>
      </c>
      <c r="K19" s="639">
        <f>J19*D19</f>
        <v>0</v>
      </c>
      <c r="L19" s="640">
        <v>0.44</v>
      </c>
      <c r="M19" s="641">
        <f t="shared" si="0"/>
        <v>0</v>
      </c>
      <c r="N19" s="639">
        <f>M19*VLOOKUP($B$9,'Base Costs'!$A$32:$B$37,2,FALSE)</f>
        <v>0</v>
      </c>
      <c r="O19" s="642">
        <f t="shared" si="1"/>
        <v>0</v>
      </c>
      <c r="S19" s="596"/>
      <c r="Y19" s="575"/>
    </row>
    <row r="20" spans="1:26" ht="15" customHeight="1" outlineLevel="1" x14ac:dyDescent="0.15">
      <c r="A20" s="568">
        <v>242</v>
      </c>
      <c r="B20" s="633" t="s">
        <v>77</v>
      </c>
      <c r="C20" s="654"/>
      <c r="D20" s="644" t="s">
        <v>78</v>
      </c>
      <c r="E20" s="651" t="s">
        <v>79</v>
      </c>
      <c r="F20" s="650"/>
      <c r="G20" s="651"/>
      <c r="H20" s="652"/>
      <c r="I20" s="657"/>
      <c r="J20" s="638">
        <f>IF(C20=0,0,'Base Costs'!$B$26)</f>
        <v>0</v>
      </c>
      <c r="K20" s="639">
        <f>J20*C20</f>
        <v>0</v>
      </c>
      <c r="L20" s="640">
        <v>0.44</v>
      </c>
      <c r="M20" s="641">
        <f t="shared" si="0"/>
        <v>0</v>
      </c>
      <c r="N20" s="639">
        <f>M20*VLOOKUP($B$9,'Base Costs'!$A$32:$B$37,2,FALSE)</f>
        <v>0</v>
      </c>
      <c r="O20" s="642">
        <f t="shared" si="1"/>
        <v>0</v>
      </c>
      <c r="S20" s="596"/>
      <c r="Y20" s="575"/>
    </row>
    <row r="21" spans="1:26" ht="15" customHeight="1" outlineLevel="1" x14ac:dyDescent="0.15">
      <c r="A21" s="568">
        <v>220</v>
      </c>
      <c r="B21" s="633" t="s">
        <v>80</v>
      </c>
      <c r="C21" s="654"/>
      <c r="D21" s="644" t="s">
        <v>81</v>
      </c>
      <c r="E21" s="650"/>
      <c r="F21" s="650"/>
      <c r="G21" s="659" t="str">
        <f>IF(ISNUMBER(SEARCH("KSA",$D22)),"MAX. EXTRACT (m³/s)", "")</f>
        <v/>
      </c>
      <c r="H21" s="942" t="str">
        <f>IF(ISNUMBER(SEARCH("MUAP",$D14)),"MAX.  SUPPLY (m³/s)",IF(ISNUMBER(SEARCH("SPECIAL",$D14)),"MAX.  SUPPLY (m³/s)",(IF(ISNUMBER(SEARCH("F",$D14)),"MAX.  SUPPLY (m³/s)",""))))</f>
        <v/>
      </c>
      <c r="I21" s="943"/>
      <c r="J21" s="638">
        <f>IF(C21=0,0,'Base Costs'!$B$29)</f>
        <v>0</v>
      </c>
      <c r="K21" s="639">
        <f>J21*C21</f>
        <v>0</v>
      </c>
      <c r="L21" s="640">
        <v>0.44</v>
      </c>
      <c r="M21" s="641">
        <f t="shared" si="0"/>
        <v>0</v>
      </c>
      <c r="N21" s="639">
        <f>M21*VLOOKUP($B$9,'Base Costs'!$A$32:$B$37,2,FALSE)</f>
        <v>0</v>
      </c>
      <c r="O21" s="642">
        <f t="shared" si="1"/>
        <v>0</v>
      </c>
      <c r="S21" s="596"/>
      <c r="Y21" s="575"/>
    </row>
    <row r="22" spans="1:26" ht="15" customHeight="1" outlineLevel="1" x14ac:dyDescent="0.15">
      <c r="B22" s="633" t="s">
        <v>82</v>
      </c>
      <c r="C22" s="643">
        <f>IF(ISNUMBER(SEARCH("CMW",D14)),1,IF(F12=0,0,(ROUNDDOWN(((((F14-(100+(50*H12))))/H14)/500),0)*H12)))</f>
        <v>0</v>
      </c>
      <c r="D22" s="644" t="str">
        <f>VLOOKUP(D14,'Base Costs'!$A$39:$B$58,2,FALSE)</f>
        <v>FILTER TYPE</v>
      </c>
      <c r="E22" s="660" t="str">
        <f>IF(C22=0,0,IF(D22="KSA",ROUND(I14/C22,3),""))&amp; "  m³/s per filter"</f>
        <v>0  m³/s per filter</v>
      </c>
      <c r="F22" s="660" t="str">
        <f>IF(C22=0," Pa",ROUND((((I14*3600)/(C22*I11))^2),1)+20&amp; " Pa")</f>
        <v xml:space="preserve"> Pa</v>
      </c>
      <c r="G22" s="661" t="str">
        <f>IF(ISNUMBER(SEARCH("KSA",$D22)),$C22*0.25, "")</f>
        <v/>
      </c>
      <c r="H22" s="949" t="str">
        <f>IF(ISNUMBER(SEARCH("MUAP",$D14)),0.225*($F14/1000),IF(ISNUMBER(SEARCH("SPECIAL",$D14)),0.225*($F14/1000),(IF(ISNUMBER(SEARCH("F",$D14)),0.225*($F14/1000),""))))</f>
        <v/>
      </c>
      <c r="I22" s="943"/>
      <c r="J22" s="638">
        <f>IF(ISNA(D22),0,(VLOOKUP(D22,'Base Costs'!$Q$4:$R$11,2,FALSE)))</f>
        <v>0</v>
      </c>
      <c r="K22" s="639">
        <f>IF(ISNA(D22),0,IF(D22="MX",J22*1,J22*C22))</f>
        <v>0</v>
      </c>
      <c r="L22" s="640">
        <v>0.44</v>
      </c>
      <c r="M22" s="641">
        <f t="shared" si="0"/>
        <v>0</v>
      </c>
      <c r="N22" s="639">
        <f>M22*VLOOKUP($B$9,'Base Costs'!$A$32:$B$37,2,FALSE)</f>
        <v>0</v>
      </c>
      <c r="O22" s="642">
        <f t="shared" si="1"/>
        <v>0</v>
      </c>
      <c r="S22" s="596"/>
      <c r="Y22" s="575"/>
    </row>
    <row r="23" spans="1:26" ht="15" customHeight="1" outlineLevel="1" x14ac:dyDescent="0.15">
      <c r="B23" s="204" t="s">
        <v>83</v>
      </c>
      <c r="C23" s="643">
        <v>0</v>
      </c>
      <c r="D23" s="735" t="str">
        <f>VLOOKUP(D14,'Base Costs'!$A$39:$C$58,3,FALSE)</f>
        <v>PSU</v>
      </c>
      <c r="E23" s="660" t="str">
        <f>IF(C23=0,0,IF(D23="PSU",ROUND(I14/C23,3),""))&amp; " m³/s per filter"</f>
        <v>0 m³/s per filter</v>
      </c>
      <c r="F23" s="660" t="str">
        <f>IF(C23=0," Pa",ROUND((((I14*3600)/(C23*I11))^2),1)+20&amp; " Pa")</f>
        <v xml:space="preserve"> Pa</v>
      </c>
      <c r="G23" s="661" t="str">
        <f>IF(ISNUMBER(SEARCH("KSA",$D23)),$C23*0.25, "")</f>
        <v/>
      </c>
      <c r="H23" s="949" t="str">
        <f>IF(ISNUMBER(SEARCH("MUAP",$D14)),0.225*($F14/1000),IF(ISNUMBER(SEARCH("SPECIAL",$D14)),0.225*($F14/1000),(IF(ISNUMBER(SEARCH("F",$D14)),0.225*($F14/1000),""))))</f>
        <v/>
      </c>
      <c r="I23" s="943"/>
      <c r="J23" s="638"/>
      <c r="K23" s="639">
        <f>IF(ISNA(D23),0,IF(D23="MX",J23*1,J23*C23))</f>
        <v>0</v>
      </c>
      <c r="L23" s="640">
        <v>0.44</v>
      </c>
      <c r="M23" s="641">
        <f t="shared" si="0"/>
        <v>0</v>
      </c>
      <c r="N23" s="639">
        <f>M23*VLOOKUP($B$9,'Base Costs'!$A$32:$B$37,2,FALSE)</f>
        <v>0</v>
      </c>
      <c r="O23" s="642">
        <f t="shared" si="1"/>
        <v>0</v>
      </c>
      <c r="S23" s="596"/>
      <c r="Y23" s="575"/>
    </row>
    <row r="24" spans="1:26" ht="15" customHeight="1" outlineLevel="1" x14ac:dyDescent="0.15">
      <c r="A24" s="568">
        <v>107</v>
      </c>
      <c r="B24" s="662" t="str">
        <f>IF(ISNUMBER(SEARCH("UV",D14)),"UV-C COMPONENTS",IF(ISNUMBER(SEARCH("CMW",D14)),"WATERWASH COMPONENTS",""))</f>
        <v/>
      </c>
      <c r="C24" s="663" t="str">
        <f>IF(H12=0,"UVR",IF(I14=0,"UVR",IF(I24&gt;0,("UVR")&amp;(INDEX('Base Costs'!$AH$5:$AI$10,(MATCH((I14/H12),'Base Costs'!$AI$5:$AI$10,-1)),1))&amp;("-")&amp;(H12),"UVR")))</f>
        <v>UVR</v>
      </c>
      <c r="D24" s="664" t="str">
        <f>VLOOKUP(C24,'Base Costs'!$Z$4:$AF$77,7,FALSE)&amp;" m³/s"</f>
        <v xml:space="preserve"> m³/s</v>
      </c>
      <c r="E24" s="665" t="str">
        <f>IF(ISNUMBER(SEARCH("L",C24)),"LONG RACK IN SECTION","SHORTRACK")</f>
        <v>SHORTRACK</v>
      </c>
      <c r="F24" s="666" t="str">
        <f>IF(ISNUMBER(SEARCH("L",C24)),ROUND(F14/H14,1)&amp;" mm","")</f>
        <v/>
      </c>
      <c r="G24" s="656"/>
      <c r="H24" s="656"/>
      <c r="I24" s="653">
        <f>IF(ISNUMBER(SEARCH("UV",D14)),1, 0)</f>
        <v>0</v>
      </c>
      <c r="J24" s="638">
        <f>IF(ISNA(C24),0,VLOOKUP(C24,'Base Costs'!$Z$4:$AF$77,2,FALSE))</f>
        <v>0</v>
      </c>
      <c r="K24" s="639">
        <f>J24*1</f>
        <v>0</v>
      </c>
      <c r="L24" s="640">
        <v>0.44</v>
      </c>
      <c r="M24" s="641">
        <f t="shared" si="0"/>
        <v>0</v>
      </c>
      <c r="N24" s="639">
        <f>M24*VLOOKUP($B$9,'Base Costs'!$A$32:$B$37,2,FALSE)</f>
        <v>0</v>
      </c>
      <c r="O24" s="642">
        <f t="shared" si="1"/>
        <v>0</v>
      </c>
      <c r="R24" s="808"/>
      <c r="S24" s="596"/>
      <c r="Y24" s="575"/>
    </row>
    <row r="25" spans="1:26" ht="15" customHeight="1" outlineLevel="1" x14ac:dyDescent="0.15">
      <c r="B25" s="633" t="str">
        <f>IF(ISNUMBER(SEARCH("UV",D14)),"UV-C 2ND FILTER",IF(ISNUMBER(SEARCH("CMW",D14)),"CONTROL PANEL",""))</f>
        <v/>
      </c>
      <c r="C25" s="660" t="s">
        <v>84</v>
      </c>
      <c r="D25" s="662" t="str">
        <f>IF(ISNUMBER(SEARCH("CP1S",$C25)),"Up to 12m of canopy","")</f>
        <v/>
      </c>
      <c r="E25" s="662" t="str">
        <f>IF(ISNUMBER(SEARCH("CMW",$D14)),"CWS REQUIREMENT @ 2Bar","")</f>
        <v/>
      </c>
      <c r="F25" s="667" t="str">
        <f>IF(ISNUMBER(SEARCH("CMW",$D14)),$F14/1000*0.02&amp;" L/S","")</f>
        <v/>
      </c>
      <c r="G25" s="32"/>
      <c r="H25" s="652"/>
      <c r="I25" s="653">
        <f>C22</f>
        <v>0</v>
      </c>
      <c r="J25" s="638">
        <f>IF(ISNUMBER(SEARCH("CMW",D14)),VLOOKUP(C25,CCBASE!$A$81:$B$85,2,FALSE),(IF(I24&gt;0,'Base Costs'!$R$7,0)))</f>
        <v>0</v>
      </c>
      <c r="K25" s="639">
        <f>J25*C22</f>
        <v>0</v>
      </c>
      <c r="L25" s="640">
        <v>0.44</v>
      </c>
      <c r="M25" s="641">
        <f t="shared" si="0"/>
        <v>0</v>
      </c>
      <c r="N25" s="639">
        <f>M25*VLOOKUP($B$9,'Base Costs'!$A$32:$B$37,2,FALSE)</f>
        <v>0</v>
      </c>
      <c r="O25" s="642">
        <f t="shared" si="1"/>
        <v>0</v>
      </c>
      <c r="P25" s="720"/>
      <c r="S25" s="596"/>
      <c r="Y25" s="575"/>
    </row>
    <row r="26" spans="1:26" ht="15" customHeight="1" outlineLevel="1" x14ac:dyDescent="0.15">
      <c r="A26" s="568">
        <v>285</v>
      </c>
      <c r="B26" s="633" t="str">
        <f>IF(ISNUMBER(SEARCH("UV",D14)),"UV-C WORKSHOP WIRING",IF(ISNUMBER(SEARCH("CMW",D14)),"W/W PODS",""))</f>
        <v/>
      </c>
      <c r="C26" s="660" t="s">
        <v>85</v>
      </c>
      <c r="D26" s="660">
        <v>0</v>
      </c>
      <c r="E26" s="662" t="str">
        <f>IF(ISNUMBER(SEARCH("CMW",$D14)),"HWS REQUIREMENT @ 60°C ","")</f>
        <v/>
      </c>
      <c r="F26" s="668" t="str">
        <f>IF(ISNUMBER(SEARCH("CMW",$D14)),$F14/1000*0.103&amp;" L/S","")</f>
        <v/>
      </c>
      <c r="G26" s="656"/>
      <c r="H26" s="652"/>
      <c r="I26" s="653">
        <f>IF(I24&gt;0,H12,0)</f>
        <v>0</v>
      </c>
      <c r="J26" s="638">
        <f>IF(ISNUMBER(SEARCH("CMW",D14)),VLOOKUP(C26,'Base Costs'!$Q$35:$R$45,2,FALSE),IF(I26=0,0,36*1.03))</f>
        <v>0</v>
      </c>
      <c r="K26" s="639">
        <f>IF(ISNUMBER(SEARCH("CMW",D14)),J26*D26,J26*H12)</f>
        <v>0</v>
      </c>
      <c r="L26" s="640">
        <v>0.44</v>
      </c>
      <c r="M26" s="641">
        <f t="shared" si="0"/>
        <v>0</v>
      </c>
      <c r="N26" s="639">
        <f>M26*VLOOKUP($B$9,'Base Costs'!$A$32:$B$37,2,FALSE)</f>
        <v>0</v>
      </c>
      <c r="O26" s="642">
        <f t="shared" si="1"/>
        <v>0</v>
      </c>
      <c r="S26" s="596"/>
      <c r="Y26" s="575"/>
    </row>
    <row r="27" spans="1:26" ht="15" customHeight="1" outlineLevel="1" x14ac:dyDescent="0.15">
      <c r="A27" s="568">
        <v>286</v>
      </c>
      <c r="B27" s="633" t="str">
        <f>IF(ISNUMBER(SEARCH("CMW",$D14)),"CWS/HWS PIPEWORK UP TO 5M",IF(ISNUMBER(SEARCH("UV",$D14)),"MU5 INTERFACE", ""))</f>
        <v/>
      </c>
      <c r="C27" s="660">
        <v>1</v>
      </c>
      <c r="D27" s="669"/>
      <c r="E27" s="662" t="str">
        <f>IF(ISNUMBER(SEARCH("CMW",$D14)),"HW STORAGE 3m wash","")</f>
        <v/>
      </c>
      <c r="F27" s="667" t="str">
        <f>IF(ISNUMBER(SEARCH("CMW",$D14)),($F14/1000)*0.103*180&amp;" L","")</f>
        <v/>
      </c>
      <c r="G27" s="651"/>
      <c r="H27" s="652"/>
      <c r="I27" s="653">
        <f>IF(I24=0,0,1)</f>
        <v>0</v>
      </c>
      <c r="J27" s="638">
        <f>IF(B27="CWS/HWS PIPEWORK UP TO 5M",CCBASE!$B$65,IF(I27=0,0,100*1.44))</f>
        <v>0</v>
      </c>
      <c r="K27" s="639">
        <f>J27*C27</f>
        <v>0</v>
      </c>
      <c r="L27" s="640">
        <v>0.44</v>
      </c>
      <c r="M27" s="641">
        <f t="shared" si="0"/>
        <v>0</v>
      </c>
      <c r="N27" s="639">
        <f>M27*VLOOKUP($B$9,'Base Costs'!$A$32:$B$37,2,FALSE)</f>
        <v>0</v>
      </c>
      <c r="O27" s="642">
        <f t="shared" si="1"/>
        <v>0</v>
      </c>
      <c r="S27" s="596"/>
      <c r="Y27" s="575"/>
    </row>
    <row r="28" spans="1:26" s="576" customFormat="1" ht="15" customHeight="1" x14ac:dyDescent="0.15">
      <c r="A28" s="568"/>
      <c r="B28" s="616"/>
      <c r="C28" s="617"/>
      <c r="D28" s="617"/>
      <c r="E28" s="617"/>
      <c r="F28" s="617"/>
      <c r="G28" s="618" t="s">
        <v>23</v>
      </c>
      <c r="H28" s="617"/>
      <c r="I28" s="618">
        <f>IF(ISNUMBER(SEARCH("UV",D31)),49.7,71.75)</f>
        <v>71.75</v>
      </c>
      <c r="J28" s="619"/>
      <c r="K28" s="616"/>
      <c r="L28" s="620"/>
      <c r="M28" s="621"/>
      <c r="N28" s="619"/>
      <c r="O28" s="588"/>
      <c r="P28" s="575"/>
      <c r="Q28" s="575"/>
      <c r="R28" s="575"/>
      <c r="S28" s="615"/>
      <c r="T28" s="575"/>
      <c r="X28" s="575"/>
      <c r="Y28" s="575"/>
      <c r="Z28" s="575"/>
    </row>
    <row r="29" spans="1:26" s="576" customFormat="1" ht="15" customHeight="1" x14ac:dyDescent="0.15">
      <c r="A29" s="568"/>
      <c r="B29" s="176" t="s">
        <v>333</v>
      </c>
      <c r="C29" s="622">
        <f>IF(H29&lt;1,0,(((VLOOKUP(G29,CC!$D$2:$F$670,3,FALSE))*H29)+IF(ISNUMBER(SEARCH("CMW",D31)),VLOOKUP(C42,CCBASE!$A$81:$C$85,3,FALSE),0)+(VLOOKUP(C34,CCBASE!$A$53:$C$73,3,FALSE)*D34)+(VLOOKUP(C35,CCBASE!$A$53:$C$73,3,FALSE)*D35))&amp;" HRS")</f>
        <v>0</v>
      </c>
      <c r="D29" s="623" t="str">
        <f>D31</f>
        <v>CANOPY TYPE</v>
      </c>
      <c r="E29" s="604">
        <f>CEILING(IF(C31="WALL",E31, (E31/2)),250)</f>
        <v>0</v>
      </c>
      <c r="F29" s="604">
        <f>IF(H29&lt;1,0,CEILING((F31-100)/H31,250))</f>
        <v>0</v>
      </c>
      <c r="G29" s="623" t="str">
        <f>D29&amp;F29&amp;E29</f>
        <v>CANOPY TYPE00</v>
      </c>
      <c r="H29" s="622">
        <f>IF(E31=0,0,IF(F31=0,0,(E31/(IF(C31="WALL",E31,(E31/2)))*H31)))</f>
        <v>0</v>
      </c>
      <c r="I29" s="622" t="str">
        <f>I31&amp;" m³/s"</f>
        <v xml:space="preserve"> m³/s</v>
      </c>
      <c r="J29" s="624"/>
      <c r="K29" s="625">
        <f>SUBTOTAL(9,K31:K44)</f>
        <v>0</v>
      </c>
      <c r="L29" s="606" t="str">
        <f>IF(K29=0,"-",O29/M29)</f>
        <v>-</v>
      </c>
      <c r="M29" s="625">
        <f>SUBTOTAL(9,M31:M44)</f>
        <v>0</v>
      </c>
      <c r="N29" s="607">
        <f>SUBTOTAL(9,N31:N44)</f>
        <v>0</v>
      </c>
      <c r="O29" s="625">
        <f>SUBTOTAL(9,O31:O44)</f>
        <v>0</v>
      </c>
      <c r="P29" s="575"/>
      <c r="Q29" s="575"/>
      <c r="R29" s="575"/>
      <c r="S29" s="615"/>
      <c r="T29" s="575"/>
      <c r="X29" s="575"/>
      <c r="Y29" s="575"/>
      <c r="Z29" s="575"/>
    </row>
    <row r="30" spans="1:26" ht="15" hidden="1" customHeight="1" outlineLevel="1" x14ac:dyDescent="0.15">
      <c r="B30" s="626"/>
      <c r="C30" s="627" t="s">
        <v>54</v>
      </c>
      <c r="D30" s="628" t="s">
        <v>55</v>
      </c>
      <c r="E30" s="627" t="s">
        <v>56</v>
      </c>
      <c r="F30" s="627" t="s">
        <v>57</v>
      </c>
      <c r="G30" s="627" t="s">
        <v>58</v>
      </c>
      <c r="H30" s="627" t="s">
        <v>59</v>
      </c>
      <c r="I30" s="628"/>
      <c r="J30" s="629"/>
      <c r="K30" s="630"/>
      <c r="L30" s="630"/>
      <c r="M30" s="631"/>
      <c r="N30" s="632"/>
      <c r="O30" s="614"/>
      <c r="S30" s="596"/>
      <c r="Y30" s="575"/>
    </row>
    <row r="31" spans="1:26" ht="15" hidden="1" customHeight="1" outlineLevel="1" x14ac:dyDescent="0.2">
      <c r="A31" s="568">
        <v>210</v>
      </c>
      <c r="B31" s="633" t="s">
        <v>61</v>
      </c>
      <c r="C31" s="634" t="s">
        <v>62</v>
      </c>
      <c r="D31" s="635" t="s">
        <v>87</v>
      </c>
      <c r="E31" s="636"/>
      <c r="F31" s="636"/>
      <c r="G31" s="636"/>
      <c r="H31" s="637"/>
      <c r="I31" s="636"/>
      <c r="J31" s="638">
        <f>IF(ISNA(C29),0,IF(F29&gt;3000,0,(IF(H29&lt;1,0,((VLOOKUP(G29,CC!$D$2:$E$670,2,FALSE))*H29)+((VLOOKUP(G29,CC!$D$2:$AD$670,17,FALSE)*(H29/H31)))))))</f>
        <v>0</v>
      </c>
      <c r="K31" s="639">
        <f>J31*1</f>
        <v>0</v>
      </c>
      <c r="L31" s="640">
        <v>0.44</v>
      </c>
      <c r="M31" s="641">
        <f t="shared" ref="M31:M44" si="2">K31/(1-L31)*(1+$C$9)</f>
        <v>0</v>
      </c>
      <c r="N31" s="639">
        <f>M31*VLOOKUP($B$9,'Base Costs'!$A$32:$B$37,2,FALSE)</f>
        <v>0</v>
      </c>
      <c r="O31" s="642">
        <f t="shared" ref="O31:O44" si="3">M31-K31</f>
        <v>0</v>
      </c>
      <c r="S31" s="596"/>
      <c r="Y31" s="575"/>
    </row>
    <row r="32" spans="1:26" ht="15" hidden="1" customHeight="1" outlineLevel="1" x14ac:dyDescent="0.15">
      <c r="A32" s="568">
        <v>104</v>
      </c>
      <c r="B32" s="633" t="s">
        <v>64</v>
      </c>
      <c r="C32" s="635" t="s">
        <v>65</v>
      </c>
      <c r="D32" s="643"/>
      <c r="E32" s="644"/>
      <c r="F32" s="645"/>
      <c r="G32" s="646"/>
      <c r="H32" s="570"/>
      <c r="I32" s="570"/>
      <c r="J32" s="638">
        <f>IF(ISNA(C29),0,IF(D32=0,0,IF(C32="FLO",VLOOKUP(E32,'Base Costs'!$M$4:$N$14,2,FALSE),IF(C32="LED STRIP",VLOOKUP(E32,'Base Costs'!$M$4:$N$14,2,FALSE),(VLOOKUP(C32,'Base Costs'!$M$4:$N$14,2,FALSE))))))</f>
        <v>0</v>
      </c>
      <c r="K32" s="639">
        <f>J32*D32</f>
        <v>0</v>
      </c>
      <c r="L32" s="640">
        <v>0.31</v>
      </c>
      <c r="M32" s="641">
        <f t="shared" si="2"/>
        <v>0</v>
      </c>
      <c r="N32" s="639">
        <f>M32*VLOOKUP($B$9,'Base Costs'!$A$32:$B$37,2,FALSE)</f>
        <v>0</v>
      </c>
      <c r="O32" s="642">
        <f t="shared" si="3"/>
        <v>0</v>
      </c>
      <c r="P32" s="647"/>
      <c r="S32" s="596"/>
      <c r="Y32" s="575"/>
    </row>
    <row r="33" spans="1:26" ht="15" hidden="1" customHeight="1" outlineLevel="1" x14ac:dyDescent="0.15">
      <c r="A33" s="568">
        <v>234</v>
      </c>
      <c r="B33" s="204" t="s">
        <v>331</v>
      </c>
      <c r="C33" s="834" t="s">
        <v>331</v>
      </c>
      <c r="D33" s="648"/>
      <c r="E33" s="649"/>
      <c r="F33" s="650"/>
      <c r="G33" s="651"/>
      <c r="H33" s="652"/>
      <c r="I33" s="653">
        <v>1</v>
      </c>
      <c r="J33" s="638">
        <f>VLOOKUP(C33,'Base Costs'!$U$4:$V$41,2,FALSE)</f>
        <v>0</v>
      </c>
      <c r="K33" s="639">
        <f>J33*1</f>
        <v>0</v>
      </c>
      <c r="L33" s="640">
        <v>0.25</v>
      </c>
      <c r="M33" s="641">
        <f t="shared" si="2"/>
        <v>0</v>
      </c>
      <c r="N33" s="639">
        <f>M33*VLOOKUP($B$9,'Base Costs'!$A$32:$B$37,2,FALSE)</f>
        <v>0</v>
      </c>
      <c r="O33" s="642">
        <f t="shared" si="3"/>
        <v>0</v>
      </c>
      <c r="S33" s="596"/>
      <c r="Y33" s="575"/>
    </row>
    <row r="34" spans="1:26" ht="15" hidden="1" customHeight="1" outlineLevel="1" x14ac:dyDescent="0.15">
      <c r="B34" s="204" t="s">
        <v>332</v>
      </c>
      <c r="C34" s="834" t="s">
        <v>332</v>
      </c>
      <c r="D34" s="844">
        <v>1</v>
      </c>
      <c r="E34" s="655"/>
      <c r="F34" s="656"/>
      <c r="G34" s="651"/>
      <c r="H34" s="652"/>
      <c r="I34" s="657"/>
      <c r="J34" s="638">
        <f>VLOOKUP(C34,'Base Costs'!$U$44:$V$56,2,FALSE)</f>
        <v>0</v>
      </c>
      <c r="K34" s="639">
        <f>J34*D34</f>
        <v>0</v>
      </c>
      <c r="L34" s="640">
        <v>0.35</v>
      </c>
      <c r="M34" s="641">
        <f t="shared" si="2"/>
        <v>0</v>
      </c>
      <c r="N34" s="639">
        <f>M34*VLOOKUP($B$9,'Base Costs'!$A$32:$B$37,2,FALSE)</f>
        <v>0</v>
      </c>
      <c r="O34" s="642">
        <f t="shared" si="3"/>
        <v>0</v>
      </c>
      <c r="S34" s="596"/>
      <c r="Y34" s="575"/>
    </row>
    <row r="35" spans="1:26" ht="15" hidden="1" customHeight="1" outlineLevel="1" x14ac:dyDescent="0.15">
      <c r="B35" s="204" t="s">
        <v>66</v>
      </c>
      <c r="C35" s="654" t="s">
        <v>67</v>
      </c>
      <c r="D35" s="637"/>
      <c r="E35" s="956"/>
      <c r="F35" s="941"/>
      <c r="G35" s="651"/>
      <c r="H35" s="652"/>
      <c r="I35" s="657"/>
      <c r="J35" s="638">
        <f>IF(C35="",0,VLOOKUP(C35,CCBASE!$A$53:$C$73,2,FALSE))</f>
        <v>0</v>
      </c>
      <c r="K35" s="639">
        <f>J35*D35</f>
        <v>0</v>
      </c>
      <c r="L35" s="640">
        <v>0.44</v>
      </c>
      <c r="M35" s="641">
        <f t="shared" si="2"/>
        <v>0</v>
      </c>
      <c r="N35" s="639">
        <f>M35*VLOOKUP($B$9,'Base Costs'!$A$32:$B$37,2,FALSE)</f>
        <v>0</v>
      </c>
      <c r="O35" s="642">
        <f t="shared" si="3"/>
        <v>0</v>
      </c>
      <c r="S35" s="596"/>
      <c r="Y35" s="575"/>
    </row>
    <row r="36" spans="1:26" ht="15" hidden="1" customHeight="1" outlineLevel="1" x14ac:dyDescent="0.15">
      <c r="A36" s="568">
        <v>289</v>
      </c>
      <c r="B36" s="633" t="s">
        <v>71</v>
      </c>
      <c r="C36" s="654" t="s">
        <v>72</v>
      </c>
      <c r="D36" s="658">
        <f>ROUNDUP($F31/1000,0)</f>
        <v>0</v>
      </c>
      <c r="E36" s="950" t="s">
        <v>73</v>
      </c>
      <c r="F36" s="941"/>
      <c r="G36" s="656"/>
      <c r="H36" s="652"/>
      <c r="I36" s="657"/>
      <c r="J36" s="638">
        <f>IF(D36=0,0,VLOOKUP(C36,'Base Costs'!$A$19:$B$22,2,FALSE))</f>
        <v>0</v>
      </c>
      <c r="K36" s="639">
        <f>J36*D36</f>
        <v>0</v>
      </c>
      <c r="L36" s="640">
        <v>0.44</v>
      </c>
      <c r="M36" s="641">
        <f t="shared" si="2"/>
        <v>0</v>
      </c>
      <c r="N36" s="639">
        <f>M36*VLOOKUP($B$9,'Base Costs'!$A$32:$B$37,2,FALSE)</f>
        <v>0</v>
      </c>
      <c r="O36" s="642">
        <f t="shared" si="3"/>
        <v>0</v>
      </c>
      <c r="S36" s="596"/>
      <c r="Y36" s="575"/>
    </row>
    <row r="37" spans="1:26" ht="15" hidden="1" customHeight="1" outlineLevel="1" x14ac:dyDescent="0.15">
      <c r="A37" s="568">
        <v>242</v>
      </c>
      <c r="B37" s="633" t="s">
        <v>77</v>
      </c>
      <c r="C37" s="654"/>
      <c r="D37" s="644" t="s">
        <v>78</v>
      </c>
      <c r="E37" s="651" t="s">
        <v>79</v>
      </c>
      <c r="F37" s="650"/>
      <c r="G37" s="651"/>
      <c r="H37" s="652"/>
      <c r="I37" s="657"/>
      <c r="J37" s="638">
        <f>IF(C37=0,0,'Base Costs'!$B$26)</f>
        <v>0</v>
      </c>
      <c r="K37" s="639">
        <f>J37*C37</f>
        <v>0</v>
      </c>
      <c r="L37" s="640">
        <v>0.44</v>
      </c>
      <c r="M37" s="641">
        <f t="shared" si="2"/>
        <v>0</v>
      </c>
      <c r="N37" s="639">
        <f>M37*VLOOKUP($B$9,'Base Costs'!$A$32:$B$37,2,FALSE)</f>
        <v>0</v>
      </c>
      <c r="O37" s="642">
        <f t="shared" si="3"/>
        <v>0</v>
      </c>
      <c r="S37" s="596"/>
      <c r="Y37" s="575"/>
    </row>
    <row r="38" spans="1:26" ht="15" hidden="1" customHeight="1" outlineLevel="1" x14ac:dyDescent="0.15">
      <c r="A38" s="568">
        <v>220</v>
      </c>
      <c r="B38" s="633" t="s">
        <v>80</v>
      </c>
      <c r="C38" s="654"/>
      <c r="D38" s="644" t="s">
        <v>81</v>
      </c>
      <c r="E38" s="650"/>
      <c r="F38" s="650"/>
      <c r="G38" s="659" t="str">
        <f>IF(ISNUMBER(SEARCH("KSA",$D39)),"MAX. EXTRACT (m³/s)", "")</f>
        <v/>
      </c>
      <c r="H38" s="942" t="str">
        <f>IF(ISNUMBER(SEARCH("MUAP",$D31)),"MAX.  SUPPLY (m³/s)",IF(ISNUMBER(SEARCH("SPECIAL",$D31)),"MAX.  SUPPLY (m³/s)",(IF(ISNUMBER(SEARCH("F",$D31)),"MAX.  SUPPLY (m³/s)",""))))</f>
        <v/>
      </c>
      <c r="I38" s="943"/>
      <c r="J38" s="638">
        <f>IF(C38=0,0,'Base Costs'!$B$29)</f>
        <v>0</v>
      </c>
      <c r="K38" s="639">
        <f>J38*C38</f>
        <v>0</v>
      </c>
      <c r="L38" s="640">
        <v>0.44</v>
      </c>
      <c r="M38" s="641">
        <f t="shared" si="2"/>
        <v>0</v>
      </c>
      <c r="N38" s="639">
        <f>M38*VLOOKUP($B$9,'Base Costs'!$A$32:$B$37,2,FALSE)</f>
        <v>0</v>
      </c>
      <c r="O38" s="642">
        <f t="shared" si="3"/>
        <v>0</v>
      </c>
      <c r="S38" s="596"/>
      <c r="Y38" s="575"/>
    </row>
    <row r="39" spans="1:26" ht="15" hidden="1" customHeight="1" outlineLevel="1" x14ac:dyDescent="0.15">
      <c r="A39" s="568">
        <v>103</v>
      </c>
      <c r="B39" s="633" t="s">
        <v>82</v>
      </c>
      <c r="C39" s="643">
        <f>IF(ISNUMBER(SEARCH("CMW",D31)),1,IF(F29=0,0,(ROUNDDOWN(((((F31-(100+(50*H29))))/H31)/500),0)*H29)))</f>
        <v>0</v>
      </c>
      <c r="D39" s="644" t="str">
        <f>VLOOKUP(D31,'Base Costs'!$A$39:$B$58,2,FALSE)</f>
        <v>FILTER TYPE</v>
      </c>
      <c r="E39" s="660" t="str">
        <f>IF(C39=0,0,IF(D39="KSA",ROUND(I31/C39,3),""))&amp; "  m³/s per filter"</f>
        <v>0  m³/s per filter</v>
      </c>
      <c r="F39" s="660" t="str">
        <f>IF(C39=0," Pa",ROUND((((I31*3600)/(C39*I28))^2),1)+20&amp; " Pa")</f>
        <v xml:space="preserve"> Pa</v>
      </c>
      <c r="G39" s="661" t="str">
        <f>IF(ISNUMBER(SEARCH("KSA",$D39)),$C39*0.25, "")</f>
        <v/>
      </c>
      <c r="H39" s="949" t="str">
        <f>IF(ISNUMBER(SEARCH("MUAP",$D31)),0.225*($F31/1000),IF(ISNUMBER(SEARCH("SPECIAL",$D31)),0.225*($F31/1000),(IF(ISNUMBER(SEARCH("F",$D31)),0.225*($F31/1000),""))))</f>
        <v/>
      </c>
      <c r="I39" s="943"/>
      <c r="J39" s="638">
        <f>IF(ISNA(D39),0,(VLOOKUP(D39,'Base Costs'!$Q$4:$R$11,2,FALSE)))</f>
        <v>0</v>
      </c>
      <c r="K39" s="639">
        <f>IF(ISNA(D39),0,IF(D39="MX",J39*1,J39*C39))</f>
        <v>0</v>
      </c>
      <c r="L39" s="640">
        <v>0.44</v>
      </c>
      <c r="M39" s="641">
        <f t="shared" si="2"/>
        <v>0</v>
      </c>
      <c r="N39" s="639">
        <f>M39*VLOOKUP($B$9,'Base Costs'!$A$32:$B$37,2,FALSE)</f>
        <v>0</v>
      </c>
      <c r="O39" s="642">
        <f t="shared" si="3"/>
        <v>0</v>
      </c>
      <c r="S39" s="596"/>
      <c r="Y39" s="575"/>
    </row>
    <row r="40" spans="1:26" ht="15" hidden="1" customHeight="1" outlineLevel="1" x14ac:dyDescent="0.15">
      <c r="B40" s="204" t="s">
        <v>83</v>
      </c>
      <c r="C40" s="643">
        <v>0</v>
      </c>
      <c r="D40" s="735" t="str">
        <f>VLOOKUP(D31,'Base Costs'!$A$39:$C$58,3,FALSE)</f>
        <v>PSU</v>
      </c>
      <c r="E40" s="660" t="str">
        <f>IF(C40=0,0,IF(D40="PSU",ROUND(I31/C40,3),""))&amp; " m³/s per filter"</f>
        <v>0 m³/s per filter</v>
      </c>
      <c r="F40" s="660" t="str">
        <f>IF(C40=0," Pa",ROUND((((I31*3600)/(C40*I28))^2),1)+20&amp; " Pa")</f>
        <v xml:space="preserve"> Pa</v>
      </c>
      <c r="G40" s="661" t="str">
        <f>IF(ISNUMBER(SEARCH("KSA",$D40)),$C40*0.25, "")</f>
        <v/>
      </c>
      <c r="H40" s="949" t="str">
        <f>IF(ISNUMBER(SEARCH("MUAP",$D31)),0.225*($F31/1000),IF(ISNUMBER(SEARCH("SPECIAL",$D31)),0.225*($F31/1000),(IF(ISNUMBER(SEARCH("F",$D31)),0.225*($F31/1000),""))))</f>
        <v/>
      </c>
      <c r="I40" s="943"/>
      <c r="J40" s="638"/>
      <c r="K40" s="639">
        <f>IF(ISNA(D40),0,IF(D40="MX",J40*1,J40*C40))</f>
        <v>0</v>
      </c>
      <c r="L40" s="640">
        <v>0.44</v>
      </c>
      <c r="M40" s="641">
        <f t="shared" si="2"/>
        <v>0</v>
      </c>
      <c r="N40" s="639">
        <f>M40*VLOOKUP($B$9,'Base Costs'!$A$32:$B$37,2,FALSE)</f>
        <v>0</v>
      </c>
      <c r="O40" s="642">
        <f t="shared" si="3"/>
        <v>0</v>
      </c>
      <c r="S40" s="596"/>
      <c r="Y40" s="575"/>
    </row>
    <row r="41" spans="1:26" ht="15" hidden="1" customHeight="1" outlineLevel="1" x14ac:dyDescent="0.15">
      <c r="A41" s="568">
        <v>107</v>
      </c>
      <c r="B41" s="662" t="str">
        <f>IF(ISNUMBER(SEARCH("UV",D31)),"UV-C COMPONENTS",IF(ISNUMBER(SEARCH("CMW",D31)),"WATERWASH COMPONENTS",""))</f>
        <v/>
      </c>
      <c r="C41" s="663" t="str">
        <f>IF(H29=0,"UVR",IF(I31=0,"UVR",IF(I41&gt;0,("UVR")&amp;(INDEX('Base Costs'!$AH$5:$AI$10,(MATCH((I31/H29),'Base Costs'!$AI$5:$AI$10,-1)),1))&amp;("-")&amp;(H29),"UVR")))</f>
        <v>UVR</v>
      </c>
      <c r="D41" s="671" t="str">
        <f>VLOOKUP(C41,'Base Costs'!$Z$4:$AF$77,7,FALSE)&amp;" m³/s"</f>
        <v xml:space="preserve"> m³/s</v>
      </c>
      <c r="E41" s="665" t="str">
        <f>IF(ISNUMBER(SEARCH("L",C41)),"LONG RACK IN SECTION","SHORTRACK")</f>
        <v>SHORTRACK</v>
      </c>
      <c r="F41" s="666" t="str">
        <f>IF(ISNUMBER(SEARCH("L",C41)),ROUND(F31/H31,1)&amp;" mm","")</f>
        <v/>
      </c>
      <c r="G41" s="656"/>
      <c r="H41" s="656"/>
      <c r="I41" s="653">
        <f>IF(ISNUMBER(SEARCH("UV",D31)),1, 0)</f>
        <v>0</v>
      </c>
      <c r="J41" s="638">
        <f>IF(ISNA(C41),0,VLOOKUP(C41,'Base Costs'!$Z$4:$AF$77,2,FALSE))</f>
        <v>0</v>
      </c>
      <c r="K41" s="639">
        <f>J41*1</f>
        <v>0</v>
      </c>
      <c r="L41" s="640">
        <v>0.44</v>
      </c>
      <c r="M41" s="641">
        <f t="shared" si="2"/>
        <v>0</v>
      </c>
      <c r="N41" s="639">
        <f>M41*VLOOKUP($B$9,'Base Costs'!$A$32:$B$37,2,FALSE)</f>
        <v>0</v>
      </c>
      <c r="O41" s="642">
        <f t="shared" si="3"/>
        <v>0</v>
      </c>
      <c r="S41" s="596"/>
      <c r="Y41" s="575"/>
    </row>
    <row r="42" spans="1:26" ht="15" hidden="1" customHeight="1" outlineLevel="1" x14ac:dyDescent="0.15">
      <c r="B42" s="633" t="str">
        <f>IF(ISNUMBER(SEARCH("UV",D31)),"UV-C 2ND FILTER",IF(ISNUMBER(SEARCH("CMW",D31)),"CONTROL PANEL",""))</f>
        <v/>
      </c>
      <c r="C42" s="660" t="s">
        <v>84</v>
      </c>
      <c r="D42" s="662" t="str">
        <f>IF(ISNUMBER(SEARCH("CP1S",$C42)),"Up to 12m of canopy","")</f>
        <v/>
      </c>
      <c r="E42" s="662" t="str">
        <f>IF(ISNUMBER(SEARCH("CMW",$D31)),"CWS REQUIREMENT @ 2Bar","")</f>
        <v/>
      </c>
      <c r="F42" s="667" t="str">
        <f>IF(ISNUMBER(SEARCH("CMW",$D31)),$F31/1000*0.02&amp;" L/S","")</f>
        <v/>
      </c>
      <c r="G42" s="656"/>
      <c r="H42" s="652"/>
      <c r="I42" s="653">
        <f>C39</f>
        <v>0</v>
      </c>
      <c r="J42" s="638">
        <f>IF(ISNUMBER(SEARCH("CMW",D31)),VLOOKUP(C42,CCBASE!$A$81:$B$85,2,FALSE),(IF(I41&gt;0,'Base Costs'!$R$7,0)))</f>
        <v>0</v>
      </c>
      <c r="K42" s="639">
        <f>J42*C39</f>
        <v>0</v>
      </c>
      <c r="L42" s="640">
        <v>0.44</v>
      </c>
      <c r="M42" s="641">
        <f t="shared" si="2"/>
        <v>0</v>
      </c>
      <c r="N42" s="639">
        <f>M42*VLOOKUP($B$9,'Base Costs'!$A$32:$B$37,2,FALSE)</f>
        <v>0</v>
      </c>
      <c r="O42" s="642">
        <f t="shared" si="3"/>
        <v>0</v>
      </c>
      <c r="P42" s="720"/>
      <c r="S42" s="596"/>
      <c r="Y42" s="575"/>
    </row>
    <row r="43" spans="1:26" ht="15" hidden="1" customHeight="1" outlineLevel="1" x14ac:dyDescent="0.15">
      <c r="A43" s="568">
        <v>285</v>
      </c>
      <c r="B43" s="633" t="str">
        <f>IF(ISNUMBER(SEARCH("UV",D31)),"UV-C WORKSHOP WIRING",IF(ISNUMBER(SEARCH("CMW",D31)),"W/W PODS",""))</f>
        <v/>
      </c>
      <c r="C43" s="660" t="s">
        <v>85</v>
      </c>
      <c r="D43" s="660">
        <v>0</v>
      </c>
      <c r="E43" s="662" t="str">
        <f>IF(ISNUMBER(SEARCH("CMW",$D31)),"HWS REQUIREMENT @ 60°C ","")</f>
        <v/>
      </c>
      <c r="F43" s="668" t="str">
        <f>IF(ISNUMBER(SEARCH("CMW",$D31)),$F31/1000*0.103&amp;" L/S","")</f>
        <v/>
      </c>
      <c r="G43" s="656"/>
      <c r="H43" s="652"/>
      <c r="I43" s="653">
        <f>IF(I41&gt;0,H29,0)</f>
        <v>0</v>
      </c>
      <c r="J43" s="638">
        <f>IF(ISNUMBER(SEARCH("CMW",D31)),VLOOKUP(C43,'Base Costs'!$Q$35:$R$45,2,FALSE),IF(I43=0,0,36*1.03))</f>
        <v>0</v>
      </c>
      <c r="K43" s="639">
        <f>IF(ISNUMBER(SEARCH("CMW",D31)),J43*D43,J43*H29)</f>
        <v>0</v>
      </c>
      <c r="L43" s="640">
        <v>0.44</v>
      </c>
      <c r="M43" s="641">
        <f t="shared" si="2"/>
        <v>0</v>
      </c>
      <c r="N43" s="639">
        <f>M43*VLOOKUP($B$9,'Base Costs'!$A$32:$B$37,2,FALSE)</f>
        <v>0</v>
      </c>
      <c r="O43" s="642">
        <f t="shared" si="3"/>
        <v>0</v>
      </c>
      <c r="S43" s="596"/>
      <c r="Y43" s="575"/>
    </row>
    <row r="44" spans="1:26" ht="15" hidden="1" customHeight="1" outlineLevel="1" x14ac:dyDescent="0.15">
      <c r="A44" s="568">
        <v>286</v>
      </c>
      <c r="B44" s="633" t="str">
        <f>IF(ISNUMBER(SEARCH("CMW",$D31)),"CWS/HWS PIPEWORK UP TO 5M",IF(ISNUMBER(SEARCH("UV",$D31)),"MU5 INTERFACE", ""))</f>
        <v/>
      </c>
      <c r="C44" s="660">
        <v>1</v>
      </c>
      <c r="D44" s="669"/>
      <c r="E44" s="662" t="str">
        <f>IF(ISNUMBER(SEARCH("CMW",$D31)),"HW STORAGE 3m wash","")</f>
        <v/>
      </c>
      <c r="F44" s="667" t="str">
        <f>IF(ISNUMBER(SEARCH("CMW",$D31)),($F31/1000)*0.103*180&amp;" L","")</f>
        <v/>
      </c>
      <c r="G44" s="651"/>
      <c r="H44" s="652"/>
      <c r="I44" s="653">
        <f>IF(I41=0,0,1)</f>
        <v>0</v>
      </c>
      <c r="J44" s="638">
        <f>IF(B44="CWS/HWS PIPEWORK UP TO 5M",CCBASE!$B$65,IF(I44=0,0,100*1.44))</f>
        <v>0</v>
      </c>
      <c r="K44" s="639">
        <f>J44*C44</f>
        <v>0</v>
      </c>
      <c r="L44" s="640">
        <v>0.44</v>
      </c>
      <c r="M44" s="641">
        <f t="shared" si="2"/>
        <v>0</v>
      </c>
      <c r="N44" s="639">
        <f>M44*VLOOKUP($B$9,'Base Costs'!$A$32:$B$37,2,FALSE)</f>
        <v>0</v>
      </c>
      <c r="O44" s="642">
        <f t="shared" si="3"/>
        <v>0</v>
      </c>
      <c r="S44" s="596"/>
      <c r="Y44" s="575"/>
    </row>
    <row r="45" spans="1:26" ht="15" customHeight="1" collapsed="1" x14ac:dyDescent="0.15">
      <c r="B45" s="616"/>
      <c r="C45" s="672"/>
      <c r="E45" s="672"/>
      <c r="F45" s="672"/>
      <c r="G45" s="618" t="s">
        <v>23</v>
      </c>
      <c r="H45" s="617"/>
      <c r="I45" s="618">
        <f>IF(ISNUMBER(SEARCH("UV",D48)),49.7,71.75)</f>
        <v>71.75</v>
      </c>
      <c r="J45" s="619"/>
      <c r="K45" s="673"/>
      <c r="L45" s="674"/>
      <c r="M45" s="673"/>
      <c r="N45" s="673"/>
      <c r="S45" s="596"/>
      <c r="Y45" s="575"/>
    </row>
    <row r="46" spans="1:26" s="576" customFormat="1" ht="15" customHeight="1" x14ac:dyDescent="0.15">
      <c r="A46" s="568"/>
      <c r="B46" s="176" t="s">
        <v>86</v>
      </c>
      <c r="C46" s="622">
        <f>IF(H46&lt;1,0,(((VLOOKUP(G46,CC!$D$2:$F$670,3,FALSE))*H46)+IF(ISNUMBER(SEARCH("CMW",D48)),VLOOKUP(C59,CCBASE!$A$81:$C$85,3,FALSE),0)+(VLOOKUP(C51,CCBASE!$A$53:$C$73,3,FALSE)*D51)+(VLOOKUP(C52,CCBASE!$A$53:$C$73,3,FALSE)*D52))&amp;" HRS")</f>
        <v>0</v>
      </c>
      <c r="D46" s="623" t="str">
        <f>D48</f>
        <v>CANOPY TYPE</v>
      </c>
      <c r="E46" s="604">
        <f>CEILING(IF(C48="WALL",E48, (E48/2)),250)</f>
        <v>0</v>
      </c>
      <c r="F46" s="604">
        <f>IF(H46&lt;1,0,CEILING((F48-100)/H48,250))</f>
        <v>0</v>
      </c>
      <c r="G46" s="623" t="str">
        <f>D46&amp;F46&amp;E46</f>
        <v>CANOPY TYPE00</v>
      </c>
      <c r="H46" s="622">
        <f>IF(E48=0,0,IF(F48=0,0,(E48/(IF(C48="WALL",E48,(E48/2)))*H48)))</f>
        <v>0</v>
      </c>
      <c r="I46" s="622" t="str">
        <f>I48&amp;" m³/s"</f>
        <v xml:space="preserve"> m³/s</v>
      </c>
      <c r="J46" s="624"/>
      <c r="K46" s="625">
        <f>SUBTOTAL(9,K48:K61)</f>
        <v>0</v>
      </c>
      <c r="L46" s="606" t="str">
        <f>IF(K46=0,"-",O46/M46)</f>
        <v>-</v>
      </c>
      <c r="M46" s="625">
        <f>SUBTOTAL(9,M48:M61)</f>
        <v>0</v>
      </c>
      <c r="N46" s="607">
        <f>SUBTOTAL(9,N48:N61)</f>
        <v>0</v>
      </c>
      <c r="O46" s="625">
        <f>SUBTOTAL(9,O48:O61)</f>
        <v>0</v>
      </c>
      <c r="P46" s="575"/>
      <c r="Q46" s="575"/>
      <c r="R46" s="575"/>
      <c r="S46" s="615"/>
      <c r="T46" s="575"/>
      <c r="X46" s="575"/>
      <c r="Y46" s="575"/>
      <c r="Z46" s="575"/>
    </row>
    <row r="47" spans="1:26" ht="15" hidden="1" customHeight="1" outlineLevel="1" x14ac:dyDescent="0.15">
      <c r="B47" s="626"/>
      <c r="C47" s="627" t="s">
        <v>54</v>
      </c>
      <c r="D47" s="628" t="s">
        <v>55</v>
      </c>
      <c r="E47" s="627" t="s">
        <v>56</v>
      </c>
      <c r="F47" s="627" t="s">
        <v>57</v>
      </c>
      <c r="G47" s="627" t="s">
        <v>58</v>
      </c>
      <c r="H47" s="627" t="s">
        <v>59</v>
      </c>
      <c r="I47" s="628" t="s">
        <v>60</v>
      </c>
      <c r="J47" s="629"/>
      <c r="K47" s="630"/>
      <c r="L47" s="630"/>
      <c r="M47" s="631"/>
      <c r="N47" s="632"/>
      <c r="O47" s="614"/>
      <c r="S47" s="596"/>
      <c r="Y47" s="575"/>
    </row>
    <row r="48" spans="1:26" ht="15" hidden="1" customHeight="1" outlineLevel="1" x14ac:dyDescent="0.2">
      <c r="A48" s="568">
        <v>210</v>
      </c>
      <c r="B48" s="633" t="s">
        <v>61</v>
      </c>
      <c r="C48" s="634" t="s">
        <v>62</v>
      </c>
      <c r="D48" s="635" t="s">
        <v>87</v>
      </c>
      <c r="E48" s="636"/>
      <c r="F48" s="636"/>
      <c r="G48" s="636"/>
      <c r="H48" s="637"/>
      <c r="I48" s="636"/>
      <c r="J48" s="638">
        <f>IF(ISNA(C46),0,IF(F46&gt;3000,0,(IF(H46&lt;1,0,((VLOOKUP(G46,CC!$D$2:$E$670,2,FALSE))*H46)+((VLOOKUP(G46,CC!$D$2:$AD$670,17,FALSE)*(H46/H48)))))))</f>
        <v>0</v>
      </c>
      <c r="K48" s="639">
        <f>J48*1</f>
        <v>0</v>
      </c>
      <c r="L48" s="640">
        <v>0.44</v>
      </c>
      <c r="M48" s="641">
        <f t="shared" ref="M48:M61" si="4">K48/(1-L48)*(1+$C$9)</f>
        <v>0</v>
      </c>
      <c r="N48" s="639">
        <f>M48*VLOOKUP($B$9,'Base Costs'!$A$32:$B$37,2,FALSE)</f>
        <v>0</v>
      </c>
      <c r="O48" s="642">
        <f t="shared" ref="O48:O61" si="5">M48-K48</f>
        <v>0</v>
      </c>
      <c r="S48" s="596"/>
      <c r="Y48" s="575"/>
    </row>
    <row r="49" spans="1:26" ht="15" hidden="1" customHeight="1" outlineLevel="1" x14ac:dyDescent="0.15">
      <c r="A49" s="568">
        <v>104</v>
      </c>
      <c r="B49" s="633" t="s">
        <v>64</v>
      </c>
      <c r="C49" s="635" t="s">
        <v>65</v>
      </c>
      <c r="D49" s="736"/>
      <c r="E49" s="644"/>
      <c r="F49" s="645"/>
      <c r="G49" s="646"/>
      <c r="H49" s="570"/>
      <c r="I49" s="570"/>
      <c r="J49" s="638">
        <f>IF(ISNA(C46),0,IF(D49=0,0,IF(C49="FLO",VLOOKUP(E49,'Base Costs'!$M$4:$N$14,2,FALSE),IF(C49="LED STRIP",VLOOKUP(E49,'Base Costs'!$M$4:$N$14,2,FALSE),(VLOOKUP(C49,'Base Costs'!$M$4:$N$14,2,FALSE))))))</f>
        <v>0</v>
      </c>
      <c r="K49" s="639">
        <f>J49*D49</f>
        <v>0</v>
      </c>
      <c r="L49" s="640">
        <v>0.31</v>
      </c>
      <c r="M49" s="641">
        <f t="shared" si="4"/>
        <v>0</v>
      </c>
      <c r="N49" s="639">
        <f>M49*VLOOKUP($B$9,'Base Costs'!$A$32:$B$37,2,FALSE)</f>
        <v>0</v>
      </c>
      <c r="O49" s="642">
        <f t="shared" si="5"/>
        <v>0</v>
      </c>
      <c r="P49" s="647"/>
      <c r="S49" s="596"/>
      <c r="Y49" s="575"/>
    </row>
    <row r="50" spans="1:26" ht="15" hidden="1" customHeight="1" outlineLevel="1" x14ac:dyDescent="0.15">
      <c r="A50" s="568">
        <v>234</v>
      </c>
      <c r="B50" s="204" t="s">
        <v>330</v>
      </c>
      <c r="C50" s="834" t="s">
        <v>331</v>
      </c>
      <c r="D50" s="648"/>
      <c r="E50" s="649"/>
      <c r="F50" s="650"/>
      <c r="G50" s="651"/>
      <c r="H50" s="652"/>
      <c r="I50" s="653">
        <v>1</v>
      </c>
      <c r="J50" s="638">
        <f>VLOOKUP(C50,'Base Costs'!$U$4:$V$41,2,FALSE)</f>
        <v>0</v>
      </c>
      <c r="K50" s="639">
        <f>J50*1</f>
        <v>0</v>
      </c>
      <c r="L50" s="640">
        <v>0.25</v>
      </c>
      <c r="M50" s="641">
        <f t="shared" si="4"/>
        <v>0</v>
      </c>
      <c r="N50" s="639">
        <f>M50*VLOOKUP($B$9,'Base Costs'!$A$32:$B$37,2,FALSE)</f>
        <v>0</v>
      </c>
      <c r="O50" s="642">
        <f t="shared" si="5"/>
        <v>0</v>
      </c>
      <c r="S50" s="596"/>
      <c r="Y50" s="575"/>
    </row>
    <row r="51" spans="1:26" ht="15" hidden="1" customHeight="1" outlineLevel="1" x14ac:dyDescent="0.15">
      <c r="B51" s="204" t="s">
        <v>332</v>
      </c>
      <c r="C51" s="834" t="s">
        <v>332</v>
      </c>
      <c r="D51" s="844">
        <v>1</v>
      </c>
      <c r="E51" s="655"/>
      <c r="F51" s="656"/>
      <c r="G51" s="651"/>
      <c r="H51" s="652"/>
      <c r="I51" s="657"/>
      <c r="J51" s="638">
        <f>VLOOKUP(C51,'Base Costs'!$U$44:$V$56,2,FALSE)</f>
        <v>0</v>
      </c>
      <c r="K51" s="639">
        <f>J51*D51</f>
        <v>0</v>
      </c>
      <c r="L51" s="640">
        <v>0.35</v>
      </c>
      <c r="M51" s="641">
        <f t="shared" si="4"/>
        <v>0</v>
      </c>
      <c r="N51" s="639">
        <f>M51*VLOOKUP($B$9,'Base Costs'!$A$32:$B$37,2,FALSE)</f>
        <v>0</v>
      </c>
      <c r="O51" s="642">
        <f t="shared" si="5"/>
        <v>0</v>
      </c>
      <c r="S51" s="596"/>
      <c r="Y51" s="575"/>
    </row>
    <row r="52" spans="1:26" ht="15" hidden="1" customHeight="1" outlineLevel="1" x14ac:dyDescent="0.15">
      <c r="B52" s="204" t="s">
        <v>66</v>
      </c>
      <c r="C52" s="654" t="s">
        <v>67</v>
      </c>
      <c r="D52" s="637"/>
      <c r="E52" s="655" t="str">
        <f>IF(C52="","",VLOOKUP(C52,CCBASE!$A$53:$D$73,4,FALSE))</f>
        <v/>
      </c>
      <c r="F52" s="656"/>
      <c r="G52" s="651"/>
      <c r="H52" s="652"/>
      <c r="I52" s="657"/>
      <c r="J52" s="638">
        <f>IF(C52="",0,VLOOKUP(C52,CCBASE!$A$53:$C$73,2,FALSE))</f>
        <v>0</v>
      </c>
      <c r="K52" s="639">
        <f>J52*D52</f>
        <v>0</v>
      </c>
      <c r="L52" s="640">
        <v>0.44</v>
      </c>
      <c r="M52" s="641">
        <f t="shared" si="4"/>
        <v>0</v>
      </c>
      <c r="N52" s="639">
        <f>M52*VLOOKUP($B$9,'Base Costs'!$A$32:$B$37,2,FALSE)</f>
        <v>0</v>
      </c>
      <c r="O52" s="642">
        <f t="shared" si="5"/>
        <v>0</v>
      </c>
      <c r="S52" s="596"/>
      <c r="Y52" s="575"/>
    </row>
    <row r="53" spans="1:26" ht="15" hidden="1" customHeight="1" outlineLevel="1" x14ac:dyDescent="0.15">
      <c r="A53" s="568">
        <v>289</v>
      </c>
      <c r="B53" s="633" t="s">
        <v>71</v>
      </c>
      <c r="C53" s="654" t="s">
        <v>72</v>
      </c>
      <c r="D53" s="658">
        <f>ROUNDUP($F48/1000,0)</f>
        <v>0</v>
      </c>
      <c r="E53" s="950" t="s">
        <v>73</v>
      </c>
      <c r="F53" s="941"/>
      <c r="G53" s="656"/>
      <c r="H53" s="652"/>
      <c r="I53" s="657"/>
      <c r="J53" s="638">
        <f>IF(D53=0,0,VLOOKUP(C53,'Base Costs'!$A$19:$B$22,2,FALSE))</f>
        <v>0</v>
      </c>
      <c r="K53" s="639">
        <f>J53*D53</f>
        <v>0</v>
      </c>
      <c r="L53" s="640">
        <v>0.44</v>
      </c>
      <c r="M53" s="641">
        <f t="shared" si="4"/>
        <v>0</v>
      </c>
      <c r="N53" s="639">
        <f>M53*VLOOKUP($B$9,'Base Costs'!$A$32:$B$37,2,FALSE)</f>
        <v>0</v>
      </c>
      <c r="O53" s="642">
        <f t="shared" si="5"/>
        <v>0</v>
      </c>
      <c r="S53" s="596"/>
      <c r="Y53" s="575"/>
    </row>
    <row r="54" spans="1:26" ht="15" hidden="1" customHeight="1" outlineLevel="1" x14ac:dyDescent="0.15">
      <c r="A54" s="568">
        <v>242</v>
      </c>
      <c r="B54" s="633" t="s">
        <v>77</v>
      </c>
      <c r="C54" s="654"/>
      <c r="D54" s="644" t="s">
        <v>78</v>
      </c>
      <c r="E54" s="651" t="s">
        <v>79</v>
      </c>
      <c r="F54" s="650"/>
      <c r="G54" s="651"/>
      <c r="H54" s="652"/>
      <c r="I54" s="657"/>
      <c r="J54" s="638">
        <f>IF(C54=0,0,'Base Costs'!$B$26)</f>
        <v>0</v>
      </c>
      <c r="K54" s="639">
        <f>J54*C54</f>
        <v>0</v>
      </c>
      <c r="L54" s="640">
        <v>0.44</v>
      </c>
      <c r="M54" s="641">
        <f t="shared" si="4"/>
        <v>0</v>
      </c>
      <c r="N54" s="639">
        <f>M54*VLOOKUP($B$9,'Base Costs'!$A$32:$B$37,2,FALSE)</f>
        <v>0</v>
      </c>
      <c r="O54" s="642">
        <f t="shared" si="5"/>
        <v>0</v>
      </c>
      <c r="S54" s="596"/>
      <c r="Y54" s="575"/>
    </row>
    <row r="55" spans="1:26" ht="15" hidden="1" customHeight="1" outlineLevel="1" x14ac:dyDescent="0.15">
      <c r="A55" s="568">
        <v>220</v>
      </c>
      <c r="B55" s="633" t="s">
        <v>80</v>
      </c>
      <c r="C55" s="654"/>
      <c r="D55" s="644" t="s">
        <v>81</v>
      </c>
      <c r="E55" s="650"/>
      <c r="F55" s="650"/>
      <c r="G55" s="659" t="str">
        <f>IF(ISNUMBER(SEARCH("KSA",$D56)),"MAX. EXTRACT (m³/s)", "")</f>
        <v/>
      </c>
      <c r="H55" s="942" t="str">
        <f>IF(ISNUMBER(SEARCH("MUAP",$D48)),"MAX.  SUPPLY (m³/s)",IF(ISNUMBER(SEARCH("SPECIAL",$D48)),"MAX.  SUPPLY (m³/s)",(IF(ISNUMBER(SEARCH("F",$D48)),"MAX.  SUPPLY (m³/s)",""))))</f>
        <v/>
      </c>
      <c r="I55" s="943"/>
      <c r="J55" s="638">
        <f>IF(C55=0,0,'Base Costs'!$B$29)</f>
        <v>0</v>
      </c>
      <c r="K55" s="639">
        <f>J55*C55</f>
        <v>0</v>
      </c>
      <c r="L55" s="640">
        <v>0.44</v>
      </c>
      <c r="M55" s="641">
        <f t="shared" si="4"/>
        <v>0</v>
      </c>
      <c r="N55" s="639">
        <f>M55*VLOOKUP($B$9,'Base Costs'!$A$32:$B$37,2,FALSE)</f>
        <v>0</v>
      </c>
      <c r="O55" s="642">
        <f t="shared" si="5"/>
        <v>0</v>
      </c>
      <c r="S55" s="596"/>
      <c r="Y55" s="575"/>
    </row>
    <row r="56" spans="1:26" ht="15" hidden="1" customHeight="1" outlineLevel="1" x14ac:dyDescent="0.15">
      <c r="A56" s="568">
        <v>103</v>
      </c>
      <c r="B56" s="633" t="s">
        <v>82</v>
      </c>
      <c r="C56" s="643">
        <f>IF(ISNUMBER(SEARCH("CMW",D48)),1,IF(F46=0,0,(ROUNDDOWN(((((F48-(100+(50*H46))))/H48)/500),0)*H46)))</f>
        <v>0</v>
      </c>
      <c r="D56" s="644" t="str">
        <f>VLOOKUP(D48,'Base Costs'!$A$39:$B$58,2,FALSE)</f>
        <v>FILTER TYPE</v>
      </c>
      <c r="E56" s="660" t="str">
        <f>IF(C56=0,0,IF(D56="KSA",ROUND(I48/C56,3),""))&amp; "  m³/s per filter"</f>
        <v>0  m³/s per filter</v>
      </c>
      <c r="F56" s="660" t="str">
        <f>IF(C56=0," Pa",ROUND((((I48*3600)/(C56*I45))^2),1)+20&amp; " Pa")</f>
        <v xml:space="preserve"> Pa</v>
      </c>
      <c r="G56" s="661" t="str">
        <f>IF(ISNUMBER(SEARCH("KSA",$D56)),$C56*0.25, "")</f>
        <v/>
      </c>
      <c r="H56" s="949" t="str">
        <f>IF(ISNUMBER(SEARCH("MUAP",$D48)),0.225*($F48/1000),IF(ISNUMBER(SEARCH("SPECIAL",$D48)),0.225*($F48/1000),(IF(ISNUMBER(SEARCH("F",$D48)),0.225*($F48/1000),""))))</f>
        <v/>
      </c>
      <c r="I56" s="943"/>
      <c r="J56" s="638">
        <f>IF(ISNA(D56),0,(VLOOKUP(D56,'Base Costs'!$Q$4:$R$11,2,FALSE)))</f>
        <v>0</v>
      </c>
      <c r="K56" s="639">
        <f>IF(ISNA(D56),0,IF(D56="MX",J56*1,J56*C56))</f>
        <v>0</v>
      </c>
      <c r="L56" s="640">
        <v>0.44</v>
      </c>
      <c r="M56" s="641">
        <f t="shared" si="4"/>
        <v>0</v>
      </c>
      <c r="N56" s="639">
        <f>M56*VLOOKUP($B$9,'Base Costs'!$A$32:$B$37,2,FALSE)</f>
        <v>0</v>
      </c>
      <c r="O56" s="642">
        <f t="shared" si="5"/>
        <v>0</v>
      </c>
      <c r="S56" s="596"/>
      <c r="Y56" s="575"/>
    </row>
    <row r="57" spans="1:26" ht="15" hidden="1" customHeight="1" outlineLevel="1" x14ac:dyDescent="0.15">
      <c r="B57" s="204" t="s">
        <v>83</v>
      </c>
      <c r="C57" s="643">
        <v>0</v>
      </c>
      <c r="D57" s="735" t="str">
        <f>VLOOKUP(D48,'Base Costs'!$A$39:$C$58,3,FALSE)</f>
        <v>PSU</v>
      </c>
      <c r="E57" s="660" t="str">
        <f>IF(C57=0,0,IF(D57="PSU",ROUND(I48/C57,3),""))&amp; " m³/s per filter"</f>
        <v>0 m³/s per filter</v>
      </c>
      <c r="F57" s="660" t="str">
        <f>IF(C57=0," Pa",ROUND((((I48*3600)/(C57*I45))^2),1)+20&amp; " Pa")</f>
        <v xml:space="preserve"> Pa</v>
      </c>
      <c r="G57" s="661" t="str">
        <f>IF(ISNUMBER(SEARCH("KSA",$D57)),$C57*0.25, "")</f>
        <v/>
      </c>
      <c r="H57" s="949" t="str">
        <f>IF(ISNUMBER(SEARCH("MUAP",$D48)),0.225*($F48/1000),IF(ISNUMBER(SEARCH("SPECIAL",$D48)),0.225*($F48/1000),(IF(ISNUMBER(SEARCH("F",$D48)),0.225*($F48/1000),""))))</f>
        <v/>
      </c>
      <c r="I57" s="943"/>
      <c r="J57" s="638"/>
      <c r="K57" s="639">
        <f>IF(ISNA(D57),0,IF(D57="MX",J57*1,J57*C57))</f>
        <v>0</v>
      </c>
      <c r="L57" s="640">
        <v>0.44</v>
      </c>
      <c r="M57" s="641">
        <f t="shared" si="4"/>
        <v>0</v>
      </c>
      <c r="N57" s="639">
        <f>M57*VLOOKUP($B$9,'Base Costs'!$A$32:$B$37,2,FALSE)</f>
        <v>0</v>
      </c>
      <c r="O57" s="642">
        <f t="shared" si="5"/>
        <v>0</v>
      </c>
      <c r="S57" s="596"/>
      <c r="Y57" s="575"/>
    </row>
    <row r="58" spans="1:26" ht="15" hidden="1" customHeight="1" outlineLevel="1" x14ac:dyDescent="0.15">
      <c r="A58" s="568">
        <v>107</v>
      </c>
      <c r="B58" s="662" t="str">
        <f>IF(ISNUMBER(SEARCH("UV",D48)),"UV-C COMPONENTS",IF(ISNUMBER(SEARCH("CMW",D48)),"WATERWASH COMPONENTS",""))</f>
        <v/>
      </c>
      <c r="C58" s="663" t="str">
        <f>IF(H46=0,"UVR",IF(I48=0,"UVR",IF(I58&gt;0,("UVR")&amp;(INDEX('Base Costs'!$AH$5:$AI$10,(MATCH((I48/H46),'Base Costs'!$AI$5:$AI$10,-1)),1))&amp;("-")&amp;(H46),"UVR")))</f>
        <v>UVR</v>
      </c>
      <c r="D58" s="671" t="str">
        <f>VLOOKUP(C58,'Base Costs'!$Z$4:$AF$77,7,FALSE)&amp;" m³/s"</f>
        <v xml:space="preserve"> m³/s</v>
      </c>
      <c r="E58" s="665" t="str">
        <f>IF(ISNUMBER(SEARCH("L",C58)),"LONG RACK IN SECTION","SHORTRACK")</f>
        <v>SHORTRACK</v>
      </c>
      <c r="F58" s="666" t="str">
        <f>IF(ISNUMBER(SEARCH("L",C58)),ROUND(F48/H48,1)&amp;" mm","")</f>
        <v/>
      </c>
      <c r="G58" s="656"/>
      <c r="H58" s="656"/>
      <c r="I58" s="653">
        <f>IF(ISNUMBER(SEARCH("UV",D48)),1, 0)</f>
        <v>0</v>
      </c>
      <c r="J58" s="638">
        <f>IF(ISNA(C58),0,VLOOKUP(C58,'Base Costs'!$Z$4:$AF$77,2,FALSE))</f>
        <v>0</v>
      </c>
      <c r="K58" s="639">
        <f>J58*1</f>
        <v>0</v>
      </c>
      <c r="L58" s="640">
        <v>0.44</v>
      </c>
      <c r="M58" s="641">
        <f t="shared" si="4"/>
        <v>0</v>
      </c>
      <c r="N58" s="639">
        <f>M58*VLOOKUP($B$9,'Base Costs'!$A$32:$B$37,2,FALSE)</f>
        <v>0</v>
      </c>
      <c r="O58" s="642">
        <f t="shared" si="5"/>
        <v>0</v>
      </c>
      <c r="S58" s="596"/>
      <c r="Y58" s="575"/>
    </row>
    <row r="59" spans="1:26" ht="15" hidden="1" customHeight="1" outlineLevel="1" x14ac:dyDescent="0.15">
      <c r="B59" s="633" t="str">
        <f>IF(ISNUMBER(SEARCH("UV",D48)),"UV-C 2ND FILTER",IF(ISNUMBER(SEARCH("CMW",D48)),"CONTROL PANEL",""))</f>
        <v/>
      </c>
      <c r="C59" s="660" t="s">
        <v>84</v>
      </c>
      <c r="D59" s="662" t="str">
        <f>IF(ISNUMBER(SEARCH("CP1S",$C59)),"Up to 12m of canopy","")</f>
        <v/>
      </c>
      <c r="E59" s="662" t="str">
        <f>IF(ISNUMBER(SEARCH("CMW",$D48)),"CWS REQUIREMENT @ 2Bar","")</f>
        <v/>
      </c>
      <c r="F59" s="667" t="str">
        <f>IF(ISNUMBER(SEARCH("CMW",$D48)),$F48/1000*0.02&amp;" L/S","")</f>
        <v/>
      </c>
      <c r="G59" s="656"/>
      <c r="H59" s="652"/>
      <c r="I59" s="653">
        <f>C56</f>
        <v>0</v>
      </c>
      <c r="J59" s="638">
        <f>IF(ISNUMBER(SEARCH("CMW",D48)),VLOOKUP(C59,CCBASE!$A$81:$B$85,2,FALSE),(IF(I58&gt;0,'Base Costs'!$R$7,0)))</f>
        <v>0</v>
      </c>
      <c r="K59" s="639">
        <f>J59*C56</f>
        <v>0</v>
      </c>
      <c r="L59" s="640">
        <v>0.44</v>
      </c>
      <c r="M59" s="641">
        <f t="shared" si="4"/>
        <v>0</v>
      </c>
      <c r="N59" s="639">
        <f>M59*VLOOKUP($B$9,'Base Costs'!$A$32:$B$37,2,FALSE)</f>
        <v>0</v>
      </c>
      <c r="O59" s="642">
        <f t="shared" si="5"/>
        <v>0</v>
      </c>
      <c r="S59" s="596"/>
      <c r="Y59" s="575"/>
    </row>
    <row r="60" spans="1:26" ht="15" hidden="1" customHeight="1" outlineLevel="1" x14ac:dyDescent="0.15">
      <c r="A60" s="568">
        <v>285</v>
      </c>
      <c r="B60" s="633" t="str">
        <f>IF(ISNUMBER(SEARCH("UV",D48)),"UV-C WORKSHOP WIRING",IF(ISNUMBER(SEARCH("CMW",D48)),"W/W PODS",""))</f>
        <v/>
      </c>
      <c r="C60" s="660" t="s">
        <v>85</v>
      </c>
      <c r="D60" s="660">
        <v>0</v>
      </c>
      <c r="E60" s="662" t="str">
        <f>IF(ISNUMBER(SEARCH("CMW",$D48)),"HWS REQUIREMENT @ 60°C ","")</f>
        <v/>
      </c>
      <c r="F60" s="668" t="str">
        <f>IF(ISNUMBER(SEARCH("CMW",$D48)),$F48/1000*0.103&amp;" L/S","")</f>
        <v/>
      </c>
      <c r="G60" s="656"/>
      <c r="H60" s="652"/>
      <c r="I60" s="653">
        <f>IF(I58&gt;0,H46,0)</f>
        <v>0</v>
      </c>
      <c r="J60" s="638">
        <f>IF(ISNUMBER(SEARCH("CMW",D48)),VLOOKUP(C60,'Base Costs'!$Q$35:$R$45,2,FALSE),IF(I60=0,0,36*1.03))</f>
        <v>0</v>
      </c>
      <c r="K60" s="639">
        <f>IF(ISNUMBER(SEARCH("CMW",D48)),J60*D60,J60*H46)</f>
        <v>0</v>
      </c>
      <c r="L60" s="640">
        <v>0.44</v>
      </c>
      <c r="M60" s="641">
        <f t="shared" si="4"/>
        <v>0</v>
      </c>
      <c r="N60" s="639">
        <f>M60*VLOOKUP($B$9,'Base Costs'!$A$32:$B$37,2,FALSE)</f>
        <v>0</v>
      </c>
      <c r="O60" s="642">
        <f t="shared" si="5"/>
        <v>0</v>
      </c>
      <c r="S60" s="596"/>
      <c r="Y60" s="575"/>
    </row>
    <row r="61" spans="1:26" ht="15" hidden="1" customHeight="1" outlineLevel="1" x14ac:dyDescent="0.15">
      <c r="A61" s="568">
        <v>286</v>
      </c>
      <c r="B61" s="633" t="str">
        <f>IF(ISNUMBER(SEARCH("CMW",$D48)),"CWS/HWS PIPEWORK UP TO 5M",IF(ISNUMBER(SEARCH("UV",$D48)),"MU5 INTERFACE", ""))</f>
        <v/>
      </c>
      <c r="C61" s="660">
        <v>1</v>
      </c>
      <c r="D61" s="669"/>
      <c r="E61" s="662" t="str">
        <f>IF(ISNUMBER(SEARCH("CMW",$D48)),"HW STORAGE 3m wash","")</f>
        <v/>
      </c>
      <c r="F61" s="667" t="str">
        <f>IF(ISNUMBER(SEARCH("CMW",$D48)),($F48/1000)*0.103*180&amp;" L","")</f>
        <v/>
      </c>
      <c r="G61" s="651"/>
      <c r="H61" s="652"/>
      <c r="I61" s="653">
        <f>IF(I58=0,0,1)</f>
        <v>0</v>
      </c>
      <c r="J61" s="638">
        <f>IF(B61="CWS/HWS PIPEWORK UP TO 5M",CCBASE!$B$65,IF(I61=0,0,100*1.44))</f>
        <v>0</v>
      </c>
      <c r="K61" s="639">
        <f>J61*C61</f>
        <v>0</v>
      </c>
      <c r="L61" s="640">
        <v>0.44</v>
      </c>
      <c r="M61" s="641">
        <f t="shared" si="4"/>
        <v>0</v>
      </c>
      <c r="N61" s="639">
        <f>M61*VLOOKUP($B$9,'Base Costs'!$A$32:$B$37,2,FALSE)</f>
        <v>0</v>
      </c>
      <c r="O61" s="642">
        <f t="shared" si="5"/>
        <v>0</v>
      </c>
      <c r="S61" s="596"/>
      <c r="Y61" s="575"/>
    </row>
    <row r="62" spans="1:26" ht="15" customHeight="1" collapsed="1" x14ac:dyDescent="0.15">
      <c r="B62" s="616"/>
      <c r="C62" s="672"/>
      <c r="E62" s="672"/>
      <c r="F62" s="672"/>
      <c r="G62" s="618" t="s">
        <v>23</v>
      </c>
      <c r="H62" s="617"/>
      <c r="I62" s="618">
        <f>IF(ISNUMBER(SEARCH("UV",D65)),49.7,71.75)</f>
        <v>71.75</v>
      </c>
      <c r="J62" s="619"/>
      <c r="K62" s="673"/>
      <c r="L62" s="674"/>
      <c r="M62" s="673"/>
      <c r="N62" s="673"/>
      <c r="S62" s="596"/>
      <c r="Y62" s="575"/>
    </row>
    <row r="63" spans="1:26" s="576" customFormat="1" ht="15" customHeight="1" x14ac:dyDescent="0.15">
      <c r="A63" s="568"/>
      <c r="B63" s="176" t="s">
        <v>86</v>
      </c>
      <c r="C63" s="622">
        <f>IF(H63&lt;1,0,(((VLOOKUP(G63,CC!$D$2:$F$670,3,FALSE))*H63)+IF(ISNUMBER(SEARCH("CMW",D65)),VLOOKUP(C76,CCBASE!$A$81:$C$85,3,FALSE),0)+(VLOOKUP(C68,CCBASE!$A$53:$C$73,3,FALSE)*D68)+(VLOOKUP(C69,CCBASE!$A$53:$C$73,3,FALSE)*D69))&amp;" HRS")</f>
        <v>0</v>
      </c>
      <c r="D63" s="623" t="str">
        <f>D65</f>
        <v>CANOPY TYPE</v>
      </c>
      <c r="E63" s="604">
        <f>CEILING(IF(C65="WALL",E65, (E65/2)),250)</f>
        <v>0</v>
      </c>
      <c r="F63" s="604">
        <f>IF(H63&lt;1,0,CEILING((F65-100)/H65,250))</f>
        <v>0</v>
      </c>
      <c r="G63" s="623" t="str">
        <f>D63&amp;F63&amp;E63</f>
        <v>CANOPY TYPE00</v>
      </c>
      <c r="H63" s="622">
        <f>IF(E65=0,0,IF(F65=0,0,(E65/(IF(C65="WALL",E65,(E65/2)))*H65)))</f>
        <v>0</v>
      </c>
      <c r="I63" s="622" t="str">
        <f>I65&amp;" m³/s"</f>
        <v xml:space="preserve"> m³/s</v>
      </c>
      <c r="J63" s="624"/>
      <c r="K63" s="625">
        <f>SUBTOTAL(9,K65:K78)</f>
        <v>0</v>
      </c>
      <c r="L63" s="606" t="str">
        <f>IF(K63=0,"-",O63/M63)</f>
        <v>-</v>
      </c>
      <c r="M63" s="625">
        <f>SUBTOTAL(9,M65:M78)</f>
        <v>0</v>
      </c>
      <c r="N63" s="607">
        <f>SUBTOTAL(9,N65:N78)</f>
        <v>0</v>
      </c>
      <c r="O63" s="625">
        <f>SUBTOTAL(9,O65:O78)</f>
        <v>0</v>
      </c>
      <c r="P63" s="575"/>
      <c r="Q63" s="575"/>
      <c r="R63" s="575"/>
      <c r="S63" s="615"/>
      <c r="T63" s="575"/>
      <c r="X63" s="575"/>
      <c r="Y63" s="575"/>
      <c r="Z63" s="575"/>
    </row>
    <row r="64" spans="1:26" ht="15" hidden="1" customHeight="1" outlineLevel="1" x14ac:dyDescent="0.15">
      <c r="B64" s="626"/>
      <c r="C64" s="627" t="s">
        <v>54</v>
      </c>
      <c r="D64" s="628" t="s">
        <v>55</v>
      </c>
      <c r="E64" s="627" t="s">
        <v>56</v>
      </c>
      <c r="F64" s="627" t="s">
        <v>57</v>
      </c>
      <c r="G64" s="627" t="s">
        <v>58</v>
      </c>
      <c r="H64" s="627" t="s">
        <v>59</v>
      </c>
      <c r="I64" s="628" t="s">
        <v>60</v>
      </c>
      <c r="J64" s="629"/>
      <c r="K64" s="630"/>
      <c r="L64" s="630"/>
      <c r="M64" s="631"/>
      <c r="N64" s="632"/>
      <c r="O64" s="614"/>
      <c r="S64" s="596"/>
      <c r="Y64" s="575"/>
    </row>
    <row r="65" spans="1:26" ht="15" hidden="1" customHeight="1" outlineLevel="1" x14ac:dyDescent="0.2">
      <c r="A65" s="568">
        <v>210</v>
      </c>
      <c r="B65" s="633" t="s">
        <v>61</v>
      </c>
      <c r="C65" s="634" t="s">
        <v>62</v>
      </c>
      <c r="D65" s="635" t="s">
        <v>87</v>
      </c>
      <c r="E65" s="636"/>
      <c r="F65" s="636"/>
      <c r="G65" s="636"/>
      <c r="H65" s="637"/>
      <c r="I65" s="636"/>
      <c r="J65" s="638">
        <f>IF(ISNA(C63),0,IF(F63&gt;3000,0,(IF(H63&lt;1,0,((VLOOKUP(G63,CC!$D$2:$E$670,2,FALSE))*H63)+((VLOOKUP(G63,CC!$D$2:$AD$670,17,FALSE)*(H63/H65)))))))</f>
        <v>0</v>
      </c>
      <c r="K65" s="639">
        <f>J65*1</f>
        <v>0</v>
      </c>
      <c r="L65" s="640">
        <v>0.44</v>
      </c>
      <c r="M65" s="641">
        <f t="shared" ref="M65:M78" si="6">K65/(1-L65)*(1+$C$9)</f>
        <v>0</v>
      </c>
      <c r="N65" s="639">
        <f>M65*VLOOKUP($B$9,'Base Costs'!$A$32:$B$37,2,FALSE)</f>
        <v>0</v>
      </c>
      <c r="O65" s="642">
        <f t="shared" ref="O65:O78" si="7">M65-K65</f>
        <v>0</v>
      </c>
      <c r="S65" s="596"/>
      <c r="Y65" s="575"/>
    </row>
    <row r="66" spans="1:26" ht="15" hidden="1" customHeight="1" outlineLevel="1" x14ac:dyDescent="0.15">
      <c r="A66" s="568">
        <v>104</v>
      </c>
      <c r="B66" s="633" t="s">
        <v>64</v>
      </c>
      <c r="C66" s="635" t="s">
        <v>65</v>
      </c>
      <c r="D66" s="643"/>
      <c r="E66" s="644">
        <v>100</v>
      </c>
      <c r="F66" s="645"/>
      <c r="G66" s="646"/>
      <c r="H66" s="570"/>
      <c r="I66" s="570"/>
      <c r="J66" s="638">
        <f>IF(ISNA(C63),0,IF(D66=0,0,IF(C66="FLO",VLOOKUP(E66,'Base Costs'!$M$4:$N$14,2,FALSE),IF(C66="LED STRIP",VLOOKUP(E66,'Base Costs'!$M$4:$N$14,2,FALSE),(VLOOKUP(C66,'Base Costs'!$M$4:$N$14,2,FALSE))))))</f>
        <v>0</v>
      </c>
      <c r="K66" s="639">
        <f>J66*D66</f>
        <v>0</v>
      </c>
      <c r="L66" s="640">
        <v>0.31</v>
      </c>
      <c r="M66" s="641">
        <f t="shared" si="6"/>
        <v>0</v>
      </c>
      <c r="N66" s="639">
        <f>M66*VLOOKUP($B$9,'Base Costs'!$A$32:$B$37,2,FALSE)</f>
        <v>0</v>
      </c>
      <c r="O66" s="642">
        <f t="shared" si="7"/>
        <v>0</v>
      </c>
      <c r="P66" s="647"/>
      <c r="S66" s="596"/>
      <c r="Y66" s="575"/>
    </row>
    <row r="67" spans="1:26" ht="15" hidden="1" customHeight="1" outlineLevel="1" x14ac:dyDescent="0.15">
      <c r="A67" s="568">
        <v>234</v>
      </c>
      <c r="B67" s="204" t="s">
        <v>330</v>
      </c>
      <c r="C67" s="834" t="s">
        <v>331</v>
      </c>
      <c r="D67" s="648"/>
      <c r="E67" s="649"/>
      <c r="F67" s="650"/>
      <c r="G67" s="651"/>
      <c r="H67" s="652"/>
      <c r="I67" s="653">
        <v>1</v>
      </c>
      <c r="J67" s="638">
        <f>VLOOKUP(C67,'Base Costs'!$U$4:$V$41,2,FALSE)</f>
        <v>0</v>
      </c>
      <c r="K67" s="639">
        <f>J67*1</f>
        <v>0</v>
      </c>
      <c r="L67" s="640">
        <v>0.25</v>
      </c>
      <c r="M67" s="641">
        <f t="shared" si="6"/>
        <v>0</v>
      </c>
      <c r="N67" s="639">
        <f>M67*VLOOKUP($B$9,'Base Costs'!$A$32:$B$37,2,FALSE)</f>
        <v>0</v>
      </c>
      <c r="O67" s="642">
        <f t="shared" si="7"/>
        <v>0</v>
      </c>
      <c r="S67" s="596"/>
      <c r="Y67" s="575"/>
    </row>
    <row r="68" spans="1:26" ht="15" hidden="1" customHeight="1" outlineLevel="1" x14ac:dyDescent="0.15">
      <c r="B68" s="204" t="s">
        <v>332</v>
      </c>
      <c r="C68" s="834" t="s">
        <v>332</v>
      </c>
      <c r="D68" s="844">
        <v>1</v>
      </c>
      <c r="E68" s="655"/>
      <c r="F68" s="656"/>
      <c r="G68" s="651"/>
      <c r="H68" s="652"/>
      <c r="I68" s="657"/>
      <c r="J68" s="638">
        <f>VLOOKUP(C68,'Base Costs'!$U$44:$V$56,2,FALSE)</f>
        <v>0</v>
      </c>
      <c r="K68" s="639">
        <f>J68*D68</f>
        <v>0</v>
      </c>
      <c r="L68" s="640">
        <v>0.35</v>
      </c>
      <c r="M68" s="641">
        <f t="shared" si="6"/>
        <v>0</v>
      </c>
      <c r="N68" s="639">
        <f>M68*VLOOKUP($B$9,'Base Costs'!$A$32:$B$37,2,FALSE)</f>
        <v>0</v>
      </c>
      <c r="O68" s="642">
        <f t="shared" si="7"/>
        <v>0</v>
      </c>
      <c r="S68" s="596"/>
      <c r="Y68" s="575"/>
    </row>
    <row r="69" spans="1:26" ht="15" hidden="1" customHeight="1" outlineLevel="1" x14ac:dyDescent="0.15">
      <c r="B69" s="204" t="s">
        <v>66</v>
      </c>
      <c r="C69" s="654" t="s">
        <v>67</v>
      </c>
      <c r="D69" s="637"/>
      <c r="E69" s="655" t="str">
        <f>IF(C69="","",VLOOKUP(C69,CCBASE!$A$53:$D$73,4,FALSE))</f>
        <v/>
      </c>
      <c r="F69" s="656"/>
      <c r="G69" s="651"/>
      <c r="H69" s="652"/>
      <c r="I69" s="657"/>
      <c r="J69" s="638">
        <f>IF(C69="",0,VLOOKUP(C69,CCBASE!$A$53:$C$73,2,FALSE))</f>
        <v>0</v>
      </c>
      <c r="K69" s="639">
        <f>J69*D69</f>
        <v>0</v>
      </c>
      <c r="L69" s="640">
        <v>0.44</v>
      </c>
      <c r="M69" s="641">
        <f t="shared" si="6"/>
        <v>0</v>
      </c>
      <c r="N69" s="639">
        <f>M69*VLOOKUP($B$9,'Base Costs'!$A$32:$B$37,2,FALSE)</f>
        <v>0</v>
      </c>
      <c r="O69" s="642">
        <f t="shared" si="7"/>
        <v>0</v>
      </c>
      <c r="S69" s="596"/>
      <c r="Y69" s="575"/>
    </row>
    <row r="70" spans="1:26" ht="15" hidden="1" customHeight="1" outlineLevel="1" x14ac:dyDescent="0.15">
      <c r="A70" s="568">
        <v>289</v>
      </c>
      <c r="B70" s="633" t="s">
        <v>71</v>
      </c>
      <c r="C70" s="654" t="s">
        <v>72</v>
      </c>
      <c r="D70" s="658">
        <f>ROUNDUP($F65/1000,0)</f>
        <v>0</v>
      </c>
      <c r="E70" s="950" t="s">
        <v>73</v>
      </c>
      <c r="F70" s="941"/>
      <c r="G70" s="656"/>
      <c r="H70" s="652"/>
      <c r="I70" s="657"/>
      <c r="J70" s="638">
        <f>IF(D70=0,0,VLOOKUP(C70,'Base Costs'!$A$19:$B$22,2,FALSE))</f>
        <v>0</v>
      </c>
      <c r="K70" s="639">
        <f>J70*D70</f>
        <v>0</v>
      </c>
      <c r="L70" s="640">
        <v>0.44</v>
      </c>
      <c r="M70" s="641">
        <f t="shared" si="6"/>
        <v>0</v>
      </c>
      <c r="N70" s="639">
        <f>M70*VLOOKUP($B$9,'Base Costs'!$A$32:$B$37,2,FALSE)</f>
        <v>0</v>
      </c>
      <c r="O70" s="642">
        <f t="shared" si="7"/>
        <v>0</v>
      </c>
      <c r="S70" s="596"/>
      <c r="Y70" s="575"/>
    </row>
    <row r="71" spans="1:26" ht="15" hidden="1" customHeight="1" outlineLevel="1" x14ac:dyDescent="0.15">
      <c r="A71" s="568">
        <v>242</v>
      </c>
      <c r="B71" s="633" t="s">
        <v>77</v>
      </c>
      <c r="C71" s="654"/>
      <c r="D71" s="644" t="s">
        <v>78</v>
      </c>
      <c r="E71" s="651" t="s">
        <v>79</v>
      </c>
      <c r="F71" s="650"/>
      <c r="G71" s="651"/>
      <c r="H71" s="652"/>
      <c r="I71" s="657"/>
      <c r="J71" s="638">
        <f>IF(C71=0,0,'Base Costs'!$B$26)</f>
        <v>0</v>
      </c>
      <c r="K71" s="639">
        <f>J71*C71</f>
        <v>0</v>
      </c>
      <c r="L71" s="640">
        <v>0.44</v>
      </c>
      <c r="M71" s="641">
        <f t="shared" si="6"/>
        <v>0</v>
      </c>
      <c r="N71" s="639">
        <f>M71*VLOOKUP($B$9,'Base Costs'!$A$32:$B$37,2,FALSE)</f>
        <v>0</v>
      </c>
      <c r="O71" s="642">
        <f t="shared" si="7"/>
        <v>0</v>
      </c>
      <c r="S71" s="596"/>
      <c r="Y71" s="575"/>
    </row>
    <row r="72" spans="1:26" ht="15" hidden="1" customHeight="1" outlineLevel="1" x14ac:dyDescent="0.15">
      <c r="A72" s="568">
        <v>220</v>
      </c>
      <c r="B72" s="633" t="s">
        <v>80</v>
      </c>
      <c r="C72" s="654"/>
      <c r="D72" s="644" t="s">
        <v>81</v>
      </c>
      <c r="E72" s="650"/>
      <c r="F72" s="650"/>
      <c r="G72" s="659" t="str">
        <f>IF(ISNUMBER(SEARCH("KSA",$D73)),"MAX. EXTRACT (m³/s)", "")</f>
        <v/>
      </c>
      <c r="H72" s="942" t="str">
        <f>IF(ISNUMBER(SEARCH("MUAP",$D65)),"MAX.  SUPPLY (m³/s)",IF(ISNUMBER(SEARCH("SPECIAL",$D65)),"MAX.  SUPPLY (m³/s)",(IF(ISNUMBER(SEARCH("F",$D65)),"MAX.  SUPPLY (m³/s)",""))))</f>
        <v/>
      </c>
      <c r="I72" s="943"/>
      <c r="J72" s="638">
        <f>IF(C72=0,0,'Base Costs'!$B$29)</f>
        <v>0</v>
      </c>
      <c r="K72" s="639">
        <f>J72*C72</f>
        <v>0</v>
      </c>
      <c r="L72" s="640">
        <v>0.44</v>
      </c>
      <c r="M72" s="641">
        <f t="shared" si="6"/>
        <v>0</v>
      </c>
      <c r="N72" s="639">
        <f>M72*VLOOKUP($B$9,'Base Costs'!$A$32:$B$37,2,FALSE)</f>
        <v>0</v>
      </c>
      <c r="O72" s="642">
        <f t="shared" si="7"/>
        <v>0</v>
      </c>
      <c r="S72" s="596"/>
      <c r="Y72" s="575"/>
    </row>
    <row r="73" spans="1:26" ht="15" hidden="1" customHeight="1" outlineLevel="1" x14ac:dyDescent="0.15">
      <c r="A73" s="568">
        <v>103</v>
      </c>
      <c r="B73" s="633" t="s">
        <v>82</v>
      </c>
      <c r="C73" s="643">
        <f>IF(ISNUMBER(SEARCH("CMW",D65)),1,IF(F63=0,0,(ROUNDDOWN(((((F65-(100+(50*H63))))/H65)/500),0)*H63)))</f>
        <v>0</v>
      </c>
      <c r="D73" s="644" t="str">
        <f>VLOOKUP(D65,'Base Costs'!$A$39:$B$58,2,FALSE)</f>
        <v>FILTER TYPE</v>
      </c>
      <c r="E73" s="660" t="str">
        <f>IF(C73=0,0,IF(D73="KSA",ROUND(I65/C73,3),""))&amp; "  m³/s per filter"</f>
        <v>0  m³/s per filter</v>
      </c>
      <c r="F73" s="660" t="str">
        <f>IF(C73=0," Pa",ROUND((((I65*3600)/(C73*I62))^2),1)+20&amp; " Pa")</f>
        <v xml:space="preserve"> Pa</v>
      </c>
      <c r="G73" s="661" t="str">
        <f>IF(ISNUMBER(SEARCH("KSA",$D73)),$C73*0.25, "")</f>
        <v/>
      </c>
      <c r="H73" s="949" t="str">
        <f>IF(ISNUMBER(SEARCH("MUAP",$D65)),0.225*($F65/1000),IF(ISNUMBER(SEARCH("SPECIAL",$D65)),0.225*($F65/1000),(IF(ISNUMBER(SEARCH("F",$D65)),0.225*($F65/1000),""))))</f>
        <v/>
      </c>
      <c r="I73" s="943"/>
      <c r="J73" s="638">
        <f>IF(ISNA(D73),0,(VLOOKUP(D73,'Base Costs'!$Q$4:$R$11,2,FALSE)))</f>
        <v>0</v>
      </c>
      <c r="K73" s="639">
        <f>IF(ISNA(D73),0,IF(D73="MX",J73*1,J73*C73))</f>
        <v>0</v>
      </c>
      <c r="L73" s="640">
        <v>0.44</v>
      </c>
      <c r="M73" s="641">
        <f t="shared" si="6"/>
        <v>0</v>
      </c>
      <c r="N73" s="639">
        <f>M73*VLOOKUP($B$9,'Base Costs'!$A$32:$B$37,2,FALSE)</f>
        <v>0</v>
      </c>
      <c r="O73" s="642">
        <f t="shared" si="7"/>
        <v>0</v>
      </c>
      <c r="S73" s="596"/>
      <c r="Y73" s="575"/>
    </row>
    <row r="74" spans="1:26" ht="15" hidden="1" customHeight="1" outlineLevel="1" x14ac:dyDescent="0.15">
      <c r="B74" s="204" t="s">
        <v>83</v>
      </c>
      <c r="C74" s="643">
        <v>0</v>
      </c>
      <c r="D74" s="735" t="str">
        <f>VLOOKUP(D65,'Base Costs'!$A$39:$C$58,3,FALSE)</f>
        <v>PSU</v>
      </c>
      <c r="E74" s="660" t="str">
        <f>IF(C74=0,0,IF(D74="PSU",ROUND(I65/C74,3),""))&amp; " m³/s per filter"</f>
        <v>0 m³/s per filter</v>
      </c>
      <c r="F74" s="660" t="str">
        <f>IF(C74=0," Pa",ROUND((((I65*3600)/(C74*I62))^2),1)+20&amp; " Pa")</f>
        <v xml:space="preserve"> Pa</v>
      </c>
      <c r="G74" s="661" t="str">
        <f>IF(ISNUMBER(SEARCH("KSA",$D74)),$C74*0.25, "")</f>
        <v/>
      </c>
      <c r="H74" s="949" t="str">
        <f>IF(ISNUMBER(SEARCH("MUAP",$D65)),0.225*($F65/1000),IF(ISNUMBER(SEARCH("SPECIAL",$D65)),0.225*($F65/1000),(IF(ISNUMBER(SEARCH("F",$D65)),0.225*($F65/1000),""))))</f>
        <v/>
      </c>
      <c r="I74" s="943"/>
      <c r="J74" s="638"/>
      <c r="K74" s="639">
        <f>IF(ISNA(D74),0,IF(D74="MX",J74*1,J74*C74))</f>
        <v>0</v>
      </c>
      <c r="L74" s="640">
        <v>0.44</v>
      </c>
      <c r="M74" s="641">
        <f t="shared" si="6"/>
        <v>0</v>
      </c>
      <c r="N74" s="639">
        <f>M74*VLOOKUP($B$9,'Base Costs'!$A$32:$B$37,2,FALSE)</f>
        <v>0</v>
      </c>
      <c r="O74" s="642">
        <f t="shared" si="7"/>
        <v>0</v>
      </c>
      <c r="S74" s="596"/>
      <c r="Y74" s="575"/>
    </row>
    <row r="75" spans="1:26" ht="15" hidden="1" customHeight="1" outlineLevel="1" x14ac:dyDescent="0.15">
      <c r="A75" s="568">
        <v>107</v>
      </c>
      <c r="B75" s="662" t="str">
        <f>IF(ISNUMBER(SEARCH("UV",D65)),"UV-C COMPONENTS",IF(ISNUMBER(SEARCH("CMW",D65)),"WATERWASH COMPONENTS",""))</f>
        <v/>
      </c>
      <c r="C75" s="663" t="str">
        <f>IF(H63=0,"UVR",IF(I65=0,"UVR",IF(I75&gt;0,("UVR")&amp;(INDEX('Base Costs'!$AH$5:$AI$10,(MATCH((I65/H63),'Base Costs'!$AI$5:$AI$10,-1)),1))&amp;("-")&amp;(H63),"UVR")))</f>
        <v>UVR</v>
      </c>
      <c r="D75" s="671" t="str">
        <f>VLOOKUP(C75,'Base Costs'!$Z$4:$AF$77,7,FALSE)&amp;" m³/s"</f>
        <v xml:space="preserve"> m³/s</v>
      </c>
      <c r="E75" s="665" t="str">
        <f>IF(ISNUMBER(SEARCH("L",C75)),"LONG RACK IN SECTION","SHORTRACK")</f>
        <v>SHORTRACK</v>
      </c>
      <c r="F75" s="666" t="str">
        <f>IF(ISNUMBER(SEARCH("L",C75)),ROUND(F65/H65,1)&amp;" mm","")</f>
        <v/>
      </c>
      <c r="G75" s="656"/>
      <c r="H75" s="656"/>
      <c r="I75" s="653">
        <f>IF(ISNUMBER(SEARCH("UV",D65)),1, 0)</f>
        <v>0</v>
      </c>
      <c r="J75" s="638">
        <f>IF(ISNA(C75),0,VLOOKUP(C75,'Base Costs'!$Z$4:$AF$77,2,FALSE))</f>
        <v>0</v>
      </c>
      <c r="K75" s="639">
        <f>J75*1</f>
        <v>0</v>
      </c>
      <c r="L75" s="640">
        <v>0.44</v>
      </c>
      <c r="M75" s="641">
        <f t="shared" si="6"/>
        <v>0</v>
      </c>
      <c r="N75" s="639">
        <f>M75*VLOOKUP($B$9,'Base Costs'!$A$32:$B$37,2,FALSE)</f>
        <v>0</v>
      </c>
      <c r="O75" s="642">
        <f t="shared" si="7"/>
        <v>0</v>
      </c>
      <c r="S75" s="596"/>
      <c r="Y75" s="575"/>
    </row>
    <row r="76" spans="1:26" ht="15" hidden="1" customHeight="1" outlineLevel="1" x14ac:dyDescent="0.15">
      <c r="B76" s="633" t="str">
        <f>IF(ISNUMBER(SEARCH("UV",D65)),"UV-C 2ND FILTER",IF(ISNUMBER(SEARCH("CMW",D65)),"CONTROL PANEL",""))</f>
        <v/>
      </c>
      <c r="C76" s="660" t="s">
        <v>84</v>
      </c>
      <c r="D76" s="662" t="str">
        <f>IF(ISNUMBER(SEARCH("CP1S",$C76)),"Up to 12m of canopy","")</f>
        <v/>
      </c>
      <c r="E76" s="662" t="str">
        <f>IF(ISNUMBER(SEARCH("CMW",$D65)),"CWS REQUIREMENT @ 2Bar","")</f>
        <v/>
      </c>
      <c r="F76" s="667" t="str">
        <f>IF(ISNUMBER(SEARCH("CMW",$D65)),$F65/1000*0.02&amp;" L/S","")</f>
        <v/>
      </c>
      <c r="G76" s="656"/>
      <c r="H76" s="652"/>
      <c r="I76" s="653">
        <f>C73</f>
        <v>0</v>
      </c>
      <c r="J76" s="638">
        <f>IF(ISNUMBER(SEARCH("CMW",D65)),VLOOKUP(C76,CCBASE!$A$81:$B$85,2,FALSE),(IF(I75&gt;0,'Base Costs'!$R$7,0)))</f>
        <v>0</v>
      </c>
      <c r="K76" s="639">
        <f>J76*C73</f>
        <v>0</v>
      </c>
      <c r="L76" s="640">
        <v>0.44</v>
      </c>
      <c r="M76" s="641">
        <f t="shared" si="6"/>
        <v>0</v>
      </c>
      <c r="N76" s="639">
        <f>M76*VLOOKUP($B$9,'Base Costs'!$A$32:$B$37,2,FALSE)</f>
        <v>0</v>
      </c>
      <c r="O76" s="642">
        <f t="shared" si="7"/>
        <v>0</v>
      </c>
      <c r="S76" s="596"/>
      <c r="Y76" s="575"/>
    </row>
    <row r="77" spans="1:26" ht="15" hidden="1" customHeight="1" outlineLevel="1" x14ac:dyDescent="0.15">
      <c r="A77" s="568">
        <v>285</v>
      </c>
      <c r="B77" s="633" t="str">
        <f>IF(ISNUMBER(SEARCH("UV",D65)),"UV-C WORKSHOP WIRING",IF(ISNUMBER(SEARCH("CMW",D65)),"W/W PODS",""))</f>
        <v/>
      </c>
      <c r="C77" s="660" t="s">
        <v>85</v>
      </c>
      <c r="D77" s="660">
        <v>0</v>
      </c>
      <c r="E77" s="662" t="str">
        <f>IF(ISNUMBER(SEARCH("CMW",$D65)),"HWS REQUIREMENT @ 60°C ","")</f>
        <v/>
      </c>
      <c r="F77" s="668" t="str">
        <f>IF(ISNUMBER(SEARCH("CMW",$D65)),$F65/1000*0.103&amp;" L/S","")</f>
        <v/>
      </c>
      <c r="G77" s="656"/>
      <c r="H77" s="652"/>
      <c r="I77" s="653">
        <f>IF(I75&gt;0,H63,0)</f>
        <v>0</v>
      </c>
      <c r="J77" s="638">
        <f>IF(ISNUMBER(SEARCH("CMW",D65)),VLOOKUP(C77,'Base Costs'!$Q$35:$R$45,2,FALSE),IF(I77=0,0,36*1.03))</f>
        <v>0</v>
      </c>
      <c r="K77" s="639">
        <f>IF(ISNUMBER(SEARCH("CMW",D65)),J77*D77,J77*H63)</f>
        <v>0</v>
      </c>
      <c r="L77" s="640">
        <v>0.44</v>
      </c>
      <c r="M77" s="641">
        <f t="shared" si="6"/>
        <v>0</v>
      </c>
      <c r="N77" s="639">
        <f>M77*VLOOKUP($B$9,'Base Costs'!$A$32:$B$37,2,FALSE)</f>
        <v>0</v>
      </c>
      <c r="O77" s="642">
        <f t="shared" si="7"/>
        <v>0</v>
      </c>
      <c r="S77" s="596"/>
      <c r="Y77" s="575"/>
    </row>
    <row r="78" spans="1:26" ht="15" hidden="1" customHeight="1" outlineLevel="1" x14ac:dyDescent="0.15">
      <c r="A78" s="568">
        <v>286</v>
      </c>
      <c r="B78" s="633" t="str">
        <f>IF(ISNUMBER(SEARCH("CMW",$D65)),"CWS/HWS PIPEWORK UP TO 5M",IF(ISNUMBER(SEARCH("UV",$D65)),"MU5 INTERFACE", ""))</f>
        <v/>
      </c>
      <c r="C78" s="660">
        <v>1</v>
      </c>
      <c r="D78" s="669"/>
      <c r="E78" s="662" t="str">
        <f>IF(ISNUMBER(SEARCH("CMW",$D65)),"HW STORAGE 3m wash","")</f>
        <v/>
      </c>
      <c r="F78" s="667" t="str">
        <f>IF(ISNUMBER(SEARCH("CMW",$D65)),($F65/1000)*0.103*180&amp;" L","")</f>
        <v/>
      </c>
      <c r="G78" s="651"/>
      <c r="H78" s="652"/>
      <c r="I78" s="653">
        <f>IF(I75=0,0,1)</f>
        <v>0</v>
      </c>
      <c r="J78" s="638">
        <f>IF(B78="CWS/HWS PIPEWORK UP TO 5M",CCBASE!$B$65,IF(I78=0,0,100*1.44))</f>
        <v>0</v>
      </c>
      <c r="K78" s="639">
        <f>J78*C78</f>
        <v>0</v>
      </c>
      <c r="L78" s="640">
        <v>0.44</v>
      </c>
      <c r="M78" s="641">
        <f t="shared" si="6"/>
        <v>0</v>
      </c>
      <c r="N78" s="639">
        <f>M78*VLOOKUP($B$9,'Base Costs'!$A$32:$B$37,2,FALSE)</f>
        <v>0</v>
      </c>
      <c r="O78" s="642">
        <f t="shared" si="7"/>
        <v>0</v>
      </c>
      <c r="S78" s="596"/>
      <c r="Y78" s="575"/>
    </row>
    <row r="79" spans="1:26" ht="15" customHeight="1" collapsed="1" x14ac:dyDescent="0.15">
      <c r="B79" s="616"/>
      <c r="C79" s="672"/>
      <c r="E79" s="672"/>
      <c r="F79" s="672"/>
      <c r="G79" s="618" t="s">
        <v>23</v>
      </c>
      <c r="H79" s="617"/>
      <c r="I79" s="618">
        <f>IF(ISNUMBER(SEARCH("UV",D82)),49.7,71.75)</f>
        <v>71.75</v>
      </c>
      <c r="J79" s="619"/>
      <c r="K79" s="673"/>
      <c r="L79" s="674"/>
      <c r="M79" s="673"/>
      <c r="N79" s="673"/>
      <c r="S79" s="596"/>
      <c r="Y79" s="575"/>
    </row>
    <row r="80" spans="1:26" s="576" customFormat="1" ht="15" customHeight="1" x14ac:dyDescent="0.15">
      <c r="A80" s="568"/>
      <c r="B80" s="176" t="s">
        <v>86</v>
      </c>
      <c r="C80" s="622">
        <f>IF(H80&lt;1,0,(((VLOOKUP(G80,CC!$D$2:$F$670,3,FALSE))*H80)+IF(ISNUMBER(SEARCH("CMW",D82)),VLOOKUP(C93,CCBASE!$A$81:$C$85,3,FALSE),0)+(VLOOKUP(C85,CCBASE!$A$53:$C$73,3,FALSE)*D85)+(VLOOKUP(C86,CCBASE!$A$53:$C$73,3,FALSE)*D86))&amp;" HRS")</f>
        <v>0</v>
      </c>
      <c r="D80" s="623" t="str">
        <f>D82</f>
        <v>CANOPY TYPE</v>
      </c>
      <c r="E80" s="604">
        <f>CEILING(IF(C82="WALL",E82, (E82/2)),250)</f>
        <v>0</v>
      </c>
      <c r="F80" s="604">
        <f>IF(H80&lt;1,0,CEILING((F82-100)/H82,250))</f>
        <v>0</v>
      </c>
      <c r="G80" s="623" t="str">
        <f>D80&amp;F80&amp;E80</f>
        <v>CANOPY TYPE00</v>
      </c>
      <c r="H80" s="622">
        <f>IF(E82=0,0,IF(F82=0,0,(E82/(IF(C82="WALL",E82,(E82/2)))*H82)))</f>
        <v>0</v>
      </c>
      <c r="I80" s="622" t="str">
        <f>I82&amp;" m³/s"</f>
        <v xml:space="preserve"> m³/s</v>
      </c>
      <c r="J80" s="624"/>
      <c r="K80" s="625">
        <f>SUBTOTAL(9,K82:K95)</f>
        <v>0</v>
      </c>
      <c r="L80" s="606" t="str">
        <f>IF(K80=0,"-",O80/M80)</f>
        <v>-</v>
      </c>
      <c r="M80" s="625">
        <f>SUBTOTAL(9,M82:M95)</f>
        <v>0</v>
      </c>
      <c r="N80" s="607">
        <f>SUBTOTAL(9,N82:N95)</f>
        <v>0</v>
      </c>
      <c r="O80" s="625">
        <f>SUBTOTAL(9,O82:O95)</f>
        <v>0</v>
      </c>
      <c r="P80" s="575"/>
      <c r="Q80" s="575"/>
      <c r="R80" s="575"/>
      <c r="S80" s="615"/>
      <c r="T80" s="575"/>
      <c r="X80" s="575"/>
      <c r="Y80" s="575"/>
      <c r="Z80" s="575"/>
    </row>
    <row r="81" spans="1:25" ht="15" hidden="1" customHeight="1" outlineLevel="1" x14ac:dyDescent="0.15">
      <c r="B81" s="626"/>
      <c r="C81" s="627" t="s">
        <v>54</v>
      </c>
      <c r="D81" s="628" t="s">
        <v>55</v>
      </c>
      <c r="E81" s="627" t="s">
        <v>56</v>
      </c>
      <c r="F81" s="627" t="s">
        <v>57</v>
      </c>
      <c r="G81" s="627" t="s">
        <v>58</v>
      </c>
      <c r="H81" s="627" t="s">
        <v>59</v>
      </c>
      <c r="I81" s="628" t="s">
        <v>60</v>
      </c>
      <c r="J81" s="629"/>
      <c r="K81" s="630"/>
      <c r="L81" s="630"/>
      <c r="M81" s="631"/>
      <c r="N81" s="632"/>
      <c r="O81" s="614"/>
      <c r="S81" s="596"/>
      <c r="Y81" s="575"/>
    </row>
    <row r="82" spans="1:25" ht="15" hidden="1" customHeight="1" outlineLevel="1" x14ac:dyDescent="0.2">
      <c r="A82" s="568">
        <v>210</v>
      </c>
      <c r="B82" s="633" t="s">
        <v>61</v>
      </c>
      <c r="C82" s="634" t="s">
        <v>62</v>
      </c>
      <c r="D82" s="737" t="s">
        <v>87</v>
      </c>
      <c r="E82" s="636"/>
      <c r="F82" s="636"/>
      <c r="G82" s="636"/>
      <c r="H82" s="637"/>
      <c r="I82" s="636"/>
      <c r="J82" s="638">
        <f>IF(ISNA(C80),0,IF(F80&gt;3000,0,(IF(H80&lt;1,0,((VLOOKUP(G80,CC!$D$2:$E$670,2,FALSE))*H80)+((VLOOKUP(G80,CC!$D$2:$AD$670,17,FALSE)*(H80/H82)))))))</f>
        <v>0</v>
      </c>
      <c r="K82" s="639">
        <f>J82*1</f>
        <v>0</v>
      </c>
      <c r="L82" s="640">
        <v>0.44</v>
      </c>
      <c r="M82" s="641">
        <f t="shared" ref="M82:M95" si="8">K82/(1-L82)*(1+$C$9)</f>
        <v>0</v>
      </c>
      <c r="N82" s="639">
        <f>M82*VLOOKUP($B$9,'Base Costs'!$A$32:$B$37,2,FALSE)</f>
        <v>0</v>
      </c>
      <c r="O82" s="642">
        <f t="shared" ref="O82:O95" si="9">M82-K82</f>
        <v>0</v>
      </c>
      <c r="S82" s="596"/>
      <c r="Y82" s="575"/>
    </row>
    <row r="83" spans="1:25" ht="15" hidden="1" customHeight="1" outlineLevel="1" x14ac:dyDescent="0.15">
      <c r="A83" s="568">
        <v>104</v>
      </c>
      <c r="B83" s="633" t="s">
        <v>64</v>
      </c>
      <c r="C83" s="635" t="s">
        <v>65</v>
      </c>
      <c r="D83" s="643"/>
      <c r="E83" s="644"/>
      <c r="F83" s="645"/>
      <c r="G83" s="646"/>
      <c r="H83" s="570"/>
      <c r="I83" s="570"/>
      <c r="J83" s="638">
        <f>IF(ISNA(C80),0,IF(D83=0,0,IF(C83="FLO",VLOOKUP(E83,'Base Costs'!$M$4:$N$14,2,FALSE),IF(C83="LED STRIP",VLOOKUP(E83,'Base Costs'!$M$4:$N$14,2,FALSE),(VLOOKUP(C83,'Base Costs'!$M$4:$N$14,2,FALSE))))))</f>
        <v>0</v>
      </c>
      <c r="K83" s="639">
        <f>J83*D83</f>
        <v>0</v>
      </c>
      <c r="L83" s="640">
        <v>0.31</v>
      </c>
      <c r="M83" s="641">
        <f t="shared" si="8"/>
        <v>0</v>
      </c>
      <c r="N83" s="639">
        <f>M83*VLOOKUP($B$9,'Base Costs'!$A$32:$B$37,2,FALSE)</f>
        <v>0</v>
      </c>
      <c r="O83" s="642">
        <f t="shared" si="9"/>
        <v>0</v>
      </c>
      <c r="P83" s="647"/>
      <c r="S83" s="596"/>
      <c r="Y83" s="575"/>
    </row>
    <row r="84" spans="1:25" ht="15" hidden="1" customHeight="1" outlineLevel="1" x14ac:dyDescent="0.15">
      <c r="A84" s="568">
        <v>234</v>
      </c>
      <c r="B84" s="204" t="s">
        <v>330</v>
      </c>
      <c r="C84" s="834" t="s">
        <v>331</v>
      </c>
      <c r="D84" s="648"/>
      <c r="E84" s="649"/>
      <c r="F84" s="650"/>
      <c r="G84" s="651"/>
      <c r="H84" s="652"/>
      <c r="I84" s="653">
        <v>1</v>
      </c>
      <c r="J84" s="638">
        <f>VLOOKUP(C84,'Base Costs'!$U$4:$V$41,2,FALSE)</f>
        <v>0</v>
      </c>
      <c r="K84" s="639">
        <f>J84*1</f>
        <v>0</v>
      </c>
      <c r="L84" s="640">
        <v>0.25</v>
      </c>
      <c r="M84" s="641">
        <f t="shared" si="8"/>
        <v>0</v>
      </c>
      <c r="N84" s="639">
        <f>M84*VLOOKUP($B$9,'Base Costs'!$A$32:$B$37,2,FALSE)</f>
        <v>0</v>
      </c>
      <c r="O84" s="642">
        <f t="shared" si="9"/>
        <v>0</v>
      </c>
      <c r="S84" s="596"/>
      <c r="Y84" s="575"/>
    </row>
    <row r="85" spans="1:25" ht="15" hidden="1" customHeight="1" outlineLevel="1" x14ac:dyDescent="0.15">
      <c r="B85" s="204" t="s">
        <v>332</v>
      </c>
      <c r="C85" s="834" t="s">
        <v>332</v>
      </c>
      <c r="D85" s="844">
        <v>1</v>
      </c>
      <c r="E85" s="655"/>
      <c r="F85" s="656"/>
      <c r="G85" s="651"/>
      <c r="H85" s="652"/>
      <c r="I85" s="657"/>
      <c r="J85" s="638">
        <f>VLOOKUP(C85,'Base Costs'!$U$44:$V$56,2,FALSE)</f>
        <v>0</v>
      </c>
      <c r="K85" s="639">
        <f>J85*D85</f>
        <v>0</v>
      </c>
      <c r="L85" s="640">
        <v>0.35</v>
      </c>
      <c r="M85" s="641">
        <f t="shared" si="8"/>
        <v>0</v>
      </c>
      <c r="N85" s="639">
        <f>M85*VLOOKUP($B$9,'Base Costs'!$A$32:$B$37,2,FALSE)</f>
        <v>0</v>
      </c>
      <c r="O85" s="642">
        <f t="shared" si="9"/>
        <v>0</v>
      </c>
      <c r="S85" s="596"/>
      <c r="Y85" s="575"/>
    </row>
    <row r="86" spans="1:25" ht="15" hidden="1" customHeight="1" outlineLevel="1" x14ac:dyDescent="0.15">
      <c r="B86" s="204" t="s">
        <v>66</v>
      </c>
      <c r="C86" s="654" t="s">
        <v>67</v>
      </c>
      <c r="D86" s="637"/>
      <c r="E86" s="655" t="str">
        <f>IF(C86="","",VLOOKUP(C86,CCBASE!$A$53:$D$73,4,FALSE))</f>
        <v/>
      </c>
      <c r="F86" s="656"/>
      <c r="G86" s="651"/>
      <c r="H86" s="652"/>
      <c r="I86" s="657"/>
      <c r="J86" s="638">
        <f>IF(C86="",0,VLOOKUP(C86,CCBASE!$A$53:$C$73,2,FALSE))</f>
        <v>0</v>
      </c>
      <c r="K86" s="639">
        <f>J86*D86</f>
        <v>0</v>
      </c>
      <c r="L86" s="640">
        <v>0.44</v>
      </c>
      <c r="M86" s="641">
        <f t="shared" si="8"/>
        <v>0</v>
      </c>
      <c r="N86" s="639">
        <f>M86*VLOOKUP($B$9,'Base Costs'!$A$32:$B$37,2,FALSE)</f>
        <v>0</v>
      </c>
      <c r="O86" s="642">
        <f t="shared" si="9"/>
        <v>0</v>
      </c>
      <c r="S86" s="596"/>
      <c r="Y86" s="575"/>
    </row>
    <row r="87" spans="1:25" ht="15" hidden="1" customHeight="1" outlineLevel="1" x14ac:dyDescent="0.15">
      <c r="A87" s="568">
        <v>289</v>
      </c>
      <c r="B87" s="633" t="s">
        <v>71</v>
      </c>
      <c r="C87" s="654" t="s">
        <v>72</v>
      </c>
      <c r="D87" s="658">
        <f>ROUNDUP($F82/1000,0)</f>
        <v>0</v>
      </c>
      <c r="E87" s="950" t="s">
        <v>73</v>
      </c>
      <c r="F87" s="941"/>
      <c r="G87" s="656"/>
      <c r="H87" s="652"/>
      <c r="I87" s="657"/>
      <c r="J87" s="638">
        <f>IF(D87=0,0,VLOOKUP(C87,'Base Costs'!$A$19:$B$22,2,FALSE))</f>
        <v>0</v>
      </c>
      <c r="K87" s="639">
        <f>J87*D87</f>
        <v>0</v>
      </c>
      <c r="L87" s="640">
        <v>0.44</v>
      </c>
      <c r="M87" s="641">
        <f t="shared" si="8"/>
        <v>0</v>
      </c>
      <c r="N87" s="639">
        <f>M87*VLOOKUP($B$9,'Base Costs'!$A$32:$B$37,2,FALSE)</f>
        <v>0</v>
      </c>
      <c r="O87" s="642">
        <f t="shared" si="9"/>
        <v>0</v>
      </c>
      <c r="S87" s="596"/>
      <c r="Y87" s="575"/>
    </row>
    <row r="88" spans="1:25" ht="15" hidden="1" customHeight="1" outlineLevel="1" x14ac:dyDescent="0.15">
      <c r="A88" s="568">
        <v>242</v>
      </c>
      <c r="B88" s="633" t="s">
        <v>77</v>
      </c>
      <c r="C88" s="654"/>
      <c r="D88" s="644" t="s">
        <v>78</v>
      </c>
      <c r="E88" s="651" t="s">
        <v>79</v>
      </c>
      <c r="F88" s="650"/>
      <c r="G88" s="651"/>
      <c r="H88" s="652"/>
      <c r="I88" s="657"/>
      <c r="J88" s="638">
        <f>IF(C88=0,0,'Base Costs'!$B$26)</f>
        <v>0</v>
      </c>
      <c r="K88" s="639">
        <f>J88*C88</f>
        <v>0</v>
      </c>
      <c r="L88" s="640">
        <v>0.44</v>
      </c>
      <c r="M88" s="641">
        <f t="shared" si="8"/>
        <v>0</v>
      </c>
      <c r="N88" s="639">
        <f>M88*VLOOKUP($B$9,'Base Costs'!$A$32:$B$37,2,FALSE)</f>
        <v>0</v>
      </c>
      <c r="O88" s="642">
        <f t="shared" si="9"/>
        <v>0</v>
      </c>
      <c r="S88" s="596"/>
      <c r="Y88" s="575"/>
    </row>
    <row r="89" spans="1:25" ht="15" hidden="1" customHeight="1" outlineLevel="1" x14ac:dyDescent="0.15">
      <c r="A89" s="568">
        <v>220</v>
      </c>
      <c r="B89" s="633" t="s">
        <v>80</v>
      </c>
      <c r="C89" s="654"/>
      <c r="D89" s="644" t="s">
        <v>81</v>
      </c>
      <c r="E89" s="650"/>
      <c r="F89" s="650"/>
      <c r="G89" s="659" t="str">
        <f>IF(ISNUMBER(SEARCH("KSA",$D90)),"MAX. EXTRACT (m³/s)", "")</f>
        <v/>
      </c>
      <c r="H89" s="942" t="str">
        <f>IF(ISNUMBER(SEARCH("MUAP",$D82)),"MAX.  SUPPLY (m³/s)",IF(ISNUMBER(SEARCH("SPECIAL",$D82)),"MAX.  SUPPLY (m³/s)",(IF(ISNUMBER(SEARCH("F",$D82)),"MAX.  SUPPLY (m³/s)",""))))</f>
        <v/>
      </c>
      <c r="I89" s="943"/>
      <c r="J89" s="638">
        <f>IF(C89=0,0,'Base Costs'!$B$29)</f>
        <v>0</v>
      </c>
      <c r="K89" s="639">
        <f>J89*C89</f>
        <v>0</v>
      </c>
      <c r="L89" s="640">
        <v>0.44</v>
      </c>
      <c r="M89" s="641">
        <f t="shared" si="8"/>
        <v>0</v>
      </c>
      <c r="N89" s="639">
        <f>M89*VLOOKUP($B$9,'Base Costs'!$A$32:$B$37,2,FALSE)</f>
        <v>0</v>
      </c>
      <c r="O89" s="642">
        <f t="shared" si="9"/>
        <v>0</v>
      </c>
      <c r="S89" s="596"/>
      <c r="Y89" s="575"/>
    </row>
    <row r="90" spans="1:25" ht="15" hidden="1" customHeight="1" outlineLevel="1" x14ac:dyDescent="0.15">
      <c r="A90" s="568">
        <v>103</v>
      </c>
      <c r="B90" s="633" t="s">
        <v>82</v>
      </c>
      <c r="C90" s="643">
        <f>IF(ISNUMBER(SEARCH("CMW",D82)),1,IF(F80=0,0,(ROUNDDOWN(((((F82-(100+(50*H80))))/H82)/500),0)*H80)))</f>
        <v>0</v>
      </c>
      <c r="D90" s="644" t="str">
        <f>VLOOKUP(D82,'Base Costs'!$A$39:$B$58,2,FALSE)</f>
        <v>FILTER TYPE</v>
      </c>
      <c r="E90" s="660" t="str">
        <f>IF(C90=0,0,IF(D90="KSA",ROUND(I82/C90,3),""))&amp; "  m³/s per filter"</f>
        <v>0  m³/s per filter</v>
      </c>
      <c r="F90" s="660" t="str">
        <f>IF(C90=0," Pa",ROUND((((I82*3600)/(C90*I79))^2),1)+20&amp; " Pa")</f>
        <v xml:space="preserve"> Pa</v>
      </c>
      <c r="G90" s="661" t="str">
        <f>IF(ISNUMBER(SEARCH("KSA",$D90)),$C90*0.25, "")</f>
        <v/>
      </c>
      <c r="H90" s="949" t="str">
        <f>IF(ISNUMBER(SEARCH("MUAP",$D82)),0.225*($F82/1000),IF(ISNUMBER(SEARCH("SPECIAL",$D82)),0.225*($F82/1000),(IF(ISNUMBER(SEARCH("F",$D82)),0.225*($F82/1000),""))))</f>
        <v/>
      </c>
      <c r="I90" s="943"/>
      <c r="J90" s="638">
        <f>IF(ISNA(D90),0,(VLOOKUP(D90,'Base Costs'!$Q$4:$R$11,2,FALSE)))</f>
        <v>0</v>
      </c>
      <c r="K90" s="639">
        <f>IF(ISNA(D90),0,IF(D90="MX",J90*1,J90*C90))</f>
        <v>0</v>
      </c>
      <c r="L90" s="640">
        <v>0.44</v>
      </c>
      <c r="M90" s="641">
        <f t="shared" si="8"/>
        <v>0</v>
      </c>
      <c r="N90" s="639">
        <f>M90*VLOOKUP($B$9,'Base Costs'!$A$32:$B$37,2,FALSE)</f>
        <v>0</v>
      </c>
      <c r="O90" s="642">
        <f t="shared" si="9"/>
        <v>0</v>
      </c>
      <c r="S90" s="596"/>
      <c r="Y90" s="575"/>
    </row>
    <row r="91" spans="1:25" ht="15" hidden="1" customHeight="1" outlineLevel="1" x14ac:dyDescent="0.15">
      <c r="B91" s="204" t="s">
        <v>83</v>
      </c>
      <c r="C91" s="643">
        <v>0</v>
      </c>
      <c r="D91" s="735" t="str">
        <f>VLOOKUP(D82,'Base Costs'!$A$39:$C$58,3,FALSE)</f>
        <v>PSU</v>
      </c>
      <c r="E91" s="660" t="str">
        <f>IF(C91=0,0,IF(D91="PSU",ROUND(I82/C91,3),""))&amp; " m³/s per filter"</f>
        <v>0 m³/s per filter</v>
      </c>
      <c r="F91" s="660" t="str">
        <f>IF(C91=0," Pa",ROUND((((I82*3600)/(C91*I79))^2),1)+20&amp; " Pa")</f>
        <v xml:space="preserve"> Pa</v>
      </c>
      <c r="G91" s="661" t="str">
        <f>IF(ISNUMBER(SEARCH("KSA",$D91)),$C91*0.25, "")</f>
        <v/>
      </c>
      <c r="H91" s="949" t="str">
        <f>IF(ISNUMBER(SEARCH("MUAP",$D82)),0.225*($F82/1000),IF(ISNUMBER(SEARCH("SPECIAL",$D82)),0.225*($F82/1000),(IF(ISNUMBER(SEARCH("F",$D82)),0.225*($F82/1000),""))))</f>
        <v/>
      </c>
      <c r="I91" s="943"/>
      <c r="J91" s="638"/>
      <c r="K91" s="639">
        <f>IF(ISNA(D91),0,IF(D91="MX",J91*1,J91*C91))</f>
        <v>0</v>
      </c>
      <c r="L91" s="640">
        <v>0.44</v>
      </c>
      <c r="M91" s="641">
        <f t="shared" si="8"/>
        <v>0</v>
      </c>
      <c r="N91" s="639">
        <f>M91*VLOOKUP($B$9,'Base Costs'!$A$32:$B$37,2,FALSE)</f>
        <v>0</v>
      </c>
      <c r="O91" s="642">
        <f t="shared" si="9"/>
        <v>0</v>
      </c>
      <c r="S91" s="596"/>
      <c r="Y91" s="575"/>
    </row>
    <row r="92" spans="1:25" ht="15" hidden="1" customHeight="1" outlineLevel="1" x14ac:dyDescent="0.15">
      <c r="A92" s="568">
        <v>107</v>
      </c>
      <c r="B92" s="662" t="str">
        <f>IF(ISNUMBER(SEARCH("UV",D82)),"UV-C COMPONENTS",IF(ISNUMBER(SEARCH("CMW",D82)),"WATERWASH COMPONENTS",""))</f>
        <v/>
      </c>
      <c r="C92" s="663" t="str">
        <f>IF(H80=0,"UVR",IF(I82=0,"UVR",IF(I92&gt;0,("UVR")&amp;(INDEX('Base Costs'!$AH$5:$AI$10,(MATCH((I82/H80),'Base Costs'!$AI$5:$AI$10,-1)),1))&amp;("-")&amp;(H80),"UVR")))</f>
        <v>UVR</v>
      </c>
      <c r="D92" s="671" t="str">
        <f>VLOOKUP(C92,'Base Costs'!$Z$4:$AF$77,7,FALSE)&amp;" m³/s"</f>
        <v xml:space="preserve"> m³/s</v>
      </c>
      <c r="E92" s="665" t="str">
        <f>IF(ISNUMBER(SEARCH("L",C92)),"LONG RACK IN SECTION","SHORTRACK")</f>
        <v>SHORTRACK</v>
      </c>
      <c r="F92" s="666" t="str">
        <f>IF(ISNUMBER(SEARCH("L",C92)),ROUND(F82/H82,1)&amp;" mm","")</f>
        <v/>
      </c>
      <c r="G92" s="656"/>
      <c r="H92" s="656"/>
      <c r="I92" s="653">
        <f>IF(ISNUMBER(SEARCH("UV",D82)),1, 0)</f>
        <v>0</v>
      </c>
      <c r="J92" s="638">
        <f>IF(ISNA(C92),0,VLOOKUP(C92,'Base Costs'!$Z$4:$AF$77,2,FALSE))</f>
        <v>0</v>
      </c>
      <c r="K92" s="639">
        <f>J92*1</f>
        <v>0</v>
      </c>
      <c r="L92" s="640">
        <v>0.44</v>
      </c>
      <c r="M92" s="641">
        <f t="shared" si="8"/>
        <v>0</v>
      </c>
      <c r="N92" s="639">
        <f>M92*VLOOKUP($B$9,'Base Costs'!$A$32:$B$37,2,FALSE)</f>
        <v>0</v>
      </c>
      <c r="O92" s="642">
        <f t="shared" si="9"/>
        <v>0</v>
      </c>
      <c r="S92" s="596"/>
      <c r="Y92" s="575"/>
    </row>
    <row r="93" spans="1:25" ht="15" hidden="1" customHeight="1" outlineLevel="1" x14ac:dyDescent="0.15">
      <c r="B93" s="633" t="str">
        <f>IF(ISNUMBER(SEARCH("UV",D82)),"UV-C 2ND FILTER",IF(ISNUMBER(SEARCH("CMW",D82)),"CONTROL PANEL",""))</f>
        <v/>
      </c>
      <c r="C93" s="660" t="s">
        <v>84</v>
      </c>
      <c r="D93" s="662" t="str">
        <f>IF(ISNUMBER(SEARCH("CP1S",$C93)),"Up to 12m of canopy","")</f>
        <v/>
      </c>
      <c r="E93" s="662" t="str">
        <f>IF(ISNUMBER(SEARCH("CMW",$D82)),"CWS REQUIREMENT @ 2Bar","")</f>
        <v/>
      </c>
      <c r="F93" s="667" t="str">
        <f>IF(ISNUMBER(SEARCH("CMW",$D82)),$F82/1000*0.02&amp;" L/S","")</f>
        <v/>
      </c>
      <c r="G93" s="656"/>
      <c r="H93" s="652"/>
      <c r="I93" s="653">
        <f>C90</f>
        <v>0</v>
      </c>
      <c r="J93" s="638">
        <f>IF(ISNUMBER(SEARCH("CMW",D82)),VLOOKUP(C93,CCBASE!$A$81:$B$85,2,FALSE),(IF(I92&gt;0,'Base Costs'!$R$7,0)))</f>
        <v>0</v>
      </c>
      <c r="K93" s="639">
        <f>J93*C90</f>
        <v>0</v>
      </c>
      <c r="L93" s="640">
        <v>0.44</v>
      </c>
      <c r="M93" s="641">
        <f t="shared" si="8"/>
        <v>0</v>
      </c>
      <c r="N93" s="639">
        <f>M93*VLOOKUP($B$9,'Base Costs'!$A$32:$B$37,2,FALSE)</f>
        <v>0</v>
      </c>
      <c r="O93" s="642">
        <f t="shared" si="9"/>
        <v>0</v>
      </c>
      <c r="S93" s="596"/>
      <c r="Y93" s="575"/>
    </row>
    <row r="94" spans="1:25" ht="15" hidden="1" customHeight="1" outlineLevel="1" x14ac:dyDescent="0.15">
      <c r="A94" s="568">
        <v>285</v>
      </c>
      <c r="B94" s="633" t="str">
        <f>IF(ISNUMBER(SEARCH("UV",D82)),"UV-C WORKSHOP WIRING",IF(ISNUMBER(SEARCH("CMW",D82)),"W/W PODS",""))</f>
        <v/>
      </c>
      <c r="C94" s="660" t="s">
        <v>85</v>
      </c>
      <c r="D94" s="660">
        <v>0</v>
      </c>
      <c r="E94" s="662" t="str">
        <f>IF(ISNUMBER(SEARCH("CMW",$D82)),"HWS REQUIREMENT @ 60°C ","")</f>
        <v/>
      </c>
      <c r="F94" s="668" t="str">
        <f>IF(ISNUMBER(SEARCH("CMW",$D82)),$F82/1000*0.103&amp;" L/S","")</f>
        <v/>
      </c>
      <c r="G94" s="656"/>
      <c r="H94" s="652"/>
      <c r="I94" s="653">
        <f>IF(I92&gt;0,H80,0)</f>
        <v>0</v>
      </c>
      <c r="J94" s="638">
        <f>IF(ISNUMBER(SEARCH("CMW",D82)),VLOOKUP(C94,'Base Costs'!$Q$35:$R$45,2,FALSE),IF(I94=0,0,36*1.03))</f>
        <v>0</v>
      </c>
      <c r="K94" s="639">
        <f>IF(ISNUMBER(SEARCH("CMW",D82)),J94*D94,J94*H80)</f>
        <v>0</v>
      </c>
      <c r="L94" s="640">
        <v>0.44</v>
      </c>
      <c r="M94" s="641">
        <f t="shared" si="8"/>
        <v>0</v>
      </c>
      <c r="N94" s="639">
        <f>M94*VLOOKUP($B$9,'Base Costs'!$A$32:$B$37,2,FALSE)</f>
        <v>0</v>
      </c>
      <c r="O94" s="642">
        <f t="shared" si="9"/>
        <v>0</v>
      </c>
      <c r="S94" s="596"/>
      <c r="Y94" s="575"/>
    </row>
    <row r="95" spans="1:25" ht="15" hidden="1" customHeight="1" outlineLevel="1" x14ac:dyDescent="0.15">
      <c r="A95" s="568">
        <v>286</v>
      </c>
      <c r="B95" s="633" t="str">
        <f>IF(ISNUMBER(SEARCH("CMW",$D82)),"CWS/HWS PIPEWORK UP TO 5M",IF(ISNUMBER(SEARCH("UV",$D82)),"MU5 INTERFACE", ""))</f>
        <v/>
      </c>
      <c r="C95" s="660">
        <v>1</v>
      </c>
      <c r="D95" s="669"/>
      <c r="E95" s="662" t="str">
        <f>IF(ISNUMBER(SEARCH("CMW",$D82)),"HW STORAGE 3m wash","")</f>
        <v/>
      </c>
      <c r="F95" s="667" t="str">
        <f>IF(ISNUMBER(SEARCH("CMW",$D82)),($F82/1000)*0.103*180&amp;" L","")</f>
        <v/>
      </c>
      <c r="G95" s="651"/>
      <c r="H95" s="652"/>
      <c r="I95" s="653">
        <f>IF(I92=0,0,1)</f>
        <v>0</v>
      </c>
      <c r="J95" s="638">
        <f>IF(B95="CWS/HWS PIPEWORK UP TO 5M",CCBASE!$B$65,IF(I95=0,0,100*1.44))</f>
        <v>0</v>
      </c>
      <c r="K95" s="639">
        <f>J95*C95</f>
        <v>0</v>
      </c>
      <c r="L95" s="640">
        <v>0.44</v>
      </c>
      <c r="M95" s="641">
        <f t="shared" si="8"/>
        <v>0</v>
      </c>
      <c r="N95" s="639">
        <f>M95*VLOOKUP($B$9,'Base Costs'!$A$32:$B$37,2,FALSE)</f>
        <v>0</v>
      </c>
      <c r="O95" s="642">
        <f t="shared" si="9"/>
        <v>0</v>
      </c>
      <c r="S95" s="596"/>
      <c r="Y95" s="575"/>
    </row>
    <row r="96" spans="1:25" ht="15" customHeight="1" collapsed="1" x14ac:dyDescent="0.15">
      <c r="B96" s="616"/>
      <c r="C96" s="672"/>
      <c r="E96" s="672"/>
      <c r="F96" s="672"/>
      <c r="G96" s="618" t="s">
        <v>23</v>
      </c>
      <c r="H96" s="617"/>
      <c r="I96" s="618">
        <f>IF(ISNUMBER(SEARCH("UV",HD4)),49.7,71.75)</f>
        <v>71.75</v>
      </c>
      <c r="J96" s="619"/>
      <c r="K96" s="673"/>
      <c r="L96" s="674"/>
      <c r="M96" s="673"/>
      <c r="N96" s="673"/>
      <c r="S96" s="596"/>
      <c r="Y96" s="575"/>
    </row>
    <row r="97" spans="1:26" s="576" customFormat="1" ht="15" customHeight="1" x14ac:dyDescent="0.15">
      <c r="A97" s="568"/>
      <c r="B97" s="176" t="s">
        <v>86</v>
      </c>
      <c r="C97" s="622">
        <f>IF(H97&lt;1,0,(((VLOOKUP(G97,CC!$D$2:$F$670,3,FALSE))*H97)+IF(ISNUMBER(SEARCH("CMW",D99)),VLOOKUP(C110,CCBASE!$A$81:$C$85,3,FALSE),0)+(VLOOKUP(C102,CCBASE!$A$53:$C$73,3,FALSE)*D102)+(VLOOKUP(C103,CCBASE!$A$53:$C$73,3,FALSE)*D103))&amp;" HRS")</f>
        <v>0</v>
      </c>
      <c r="D97" s="623" t="str">
        <f>D99</f>
        <v>CANOPY TYPE</v>
      </c>
      <c r="E97" s="604">
        <f>CEILING(IF(C99="WALL",E99, (E99/2)),250)</f>
        <v>0</v>
      </c>
      <c r="F97" s="604">
        <f>IF(H97&lt;1,0,CEILING((F99-100)/H99,250))</f>
        <v>0</v>
      </c>
      <c r="G97" s="623" t="str">
        <f>D97&amp;F97&amp;E97</f>
        <v>CANOPY TYPE00</v>
      </c>
      <c r="H97" s="622">
        <f>IF(E99=0,0,IF(F99=0,0,(E99/(IF(C99="WALL",E99,(E99/2)))*H99)))</f>
        <v>0</v>
      </c>
      <c r="I97" s="622" t="str">
        <f>I99&amp;" m³/s"</f>
        <v xml:space="preserve"> m³/s</v>
      </c>
      <c r="J97" s="624"/>
      <c r="K97" s="625">
        <f>SUBTOTAL(9,K99:K112)</f>
        <v>0</v>
      </c>
      <c r="L97" s="606" t="str">
        <f>IF(K97=0,"-",O97/M97)</f>
        <v>-</v>
      </c>
      <c r="M97" s="625">
        <f>SUBTOTAL(9,M99:M112)</f>
        <v>0</v>
      </c>
      <c r="N97" s="607">
        <f>SUBTOTAL(9,N99:N112)</f>
        <v>0</v>
      </c>
      <c r="O97" s="625">
        <f>SUBTOTAL(9,O99:O112)</f>
        <v>0</v>
      </c>
      <c r="P97" s="575"/>
      <c r="Q97" s="575"/>
      <c r="R97" s="575"/>
      <c r="S97" s="615"/>
      <c r="T97" s="575"/>
      <c r="X97" s="575"/>
      <c r="Y97" s="575"/>
      <c r="Z97" s="575"/>
    </row>
    <row r="98" spans="1:26" ht="15" hidden="1" customHeight="1" outlineLevel="1" x14ac:dyDescent="0.15">
      <c r="B98" s="626"/>
      <c r="C98" s="627" t="s">
        <v>54</v>
      </c>
      <c r="D98" s="628" t="s">
        <v>55</v>
      </c>
      <c r="E98" s="627" t="s">
        <v>56</v>
      </c>
      <c r="F98" s="627" t="s">
        <v>57</v>
      </c>
      <c r="G98" s="627" t="s">
        <v>58</v>
      </c>
      <c r="H98" s="627" t="s">
        <v>59</v>
      </c>
      <c r="I98" s="628" t="s">
        <v>60</v>
      </c>
      <c r="J98" s="629"/>
      <c r="K98" s="630"/>
      <c r="L98" s="630"/>
      <c r="M98" s="631"/>
      <c r="N98" s="632"/>
      <c r="O98" s="614"/>
      <c r="S98" s="596"/>
      <c r="Y98" s="575"/>
    </row>
    <row r="99" spans="1:26" ht="15" hidden="1" customHeight="1" outlineLevel="1" x14ac:dyDescent="0.2">
      <c r="A99" s="568">
        <v>210</v>
      </c>
      <c r="B99" s="633" t="s">
        <v>61</v>
      </c>
      <c r="C99" s="634" t="s">
        <v>62</v>
      </c>
      <c r="D99" s="635" t="s">
        <v>87</v>
      </c>
      <c r="E99" s="636"/>
      <c r="F99" s="636"/>
      <c r="G99" s="636"/>
      <c r="H99" s="637"/>
      <c r="I99" s="636"/>
      <c r="J99" s="638">
        <f>IF(ISNA(C97),0,IF(F97&gt;3000,0,(IF(H97&lt;1,0,((VLOOKUP(G97,CC!$D$2:$E$670,2,FALSE))*H97)+((VLOOKUP(G97,CC!$D$2:$AD$670,17,FALSE)*(H97/H99)))))))</f>
        <v>0</v>
      </c>
      <c r="K99" s="639">
        <f>J99*1</f>
        <v>0</v>
      </c>
      <c r="L99" s="640">
        <v>0.44</v>
      </c>
      <c r="M99" s="641">
        <f t="shared" ref="M99:M112" si="10">K99/(1-L99)*(1+$C$9)</f>
        <v>0</v>
      </c>
      <c r="N99" s="639">
        <f>M99*VLOOKUP($B$9,'Base Costs'!$A$32:$B$37,2,FALSE)</f>
        <v>0</v>
      </c>
      <c r="O99" s="642">
        <f t="shared" ref="O99:O112" si="11">M99-K99</f>
        <v>0</v>
      </c>
      <c r="S99" s="596"/>
      <c r="Y99" s="575"/>
    </row>
    <row r="100" spans="1:26" ht="15" hidden="1" customHeight="1" outlineLevel="1" x14ac:dyDescent="0.15">
      <c r="A100" s="568">
        <v>104</v>
      </c>
      <c r="B100" s="633" t="s">
        <v>64</v>
      </c>
      <c r="C100" s="635" t="s">
        <v>65</v>
      </c>
      <c r="D100" s="643"/>
      <c r="E100" s="644"/>
      <c r="F100" s="645"/>
      <c r="G100" s="646"/>
      <c r="H100" s="570"/>
      <c r="I100" s="570"/>
      <c r="J100" s="638">
        <f>IF(ISNA(C97),0,IF(D100=0,0,IF(C100="FLO",VLOOKUP(E100,'Base Costs'!$M$4:$N$14,2,FALSE),IF(C100="LED STRIP",VLOOKUP(E100,'Base Costs'!$M$4:$N$14,2,FALSE),(VLOOKUP(C100,'Base Costs'!$M$4:$N$14,2,FALSE))))))</f>
        <v>0</v>
      </c>
      <c r="K100" s="639">
        <f>J100*D100</f>
        <v>0</v>
      </c>
      <c r="L100" s="640">
        <v>0.31</v>
      </c>
      <c r="M100" s="641">
        <f t="shared" si="10"/>
        <v>0</v>
      </c>
      <c r="N100" s="639">
        <f>M100*VLOOKUP($B$9,'Base Costs'!$A$32:$B$37,2,FALSE)</f>
        <v>0</v>
      </c>
      <c r="O100" s="642">
        <f t="shared" si="11"/>
        <v>0</v>
      </c>
      <c r="P100" s="647"/>
      <c r="S100" s="596"/>
      <c r="Y100" s="575"/>
    </row>
    <row r="101" spans="1:26" ht="15" hidden="1" customHeight="1" outlineLevel="1" x14ac:dyDescent="0.15">
      <c r="A101" s="568">
        <v>234</v>
      </c>
      <c r="B101" s="204" t="s">
        <v>331</v>
      </c>
      <c r="C101" s="834" t="s">
        <v>331</v>
      </c>
      <c r="D101" s="648"/>
      <c r="E101" s="649"/>
      <c r="F101" s="650"/>
      <c r="G101" s="651"/>
      <c r="H101" s="652"/>
      <c r="I101" s="653">
        <v>1</v>
      </c>
      <c r="J101" s="638">
        <f>VLOOKUP(C101,'Base Costs'!$U$4:$V$41,2,FALSE)</f>
        <v>0</v>
      </c>
      <c r="K101" s="639">
        <f>J101*1</f>
        <v>0</v>
      </c>
      <c r="L101" s="640">
        <v>0.25</v>
      </c>
      <c r="M101" s="641">
        <f t="shared" si="10"/>
        <v>0</v>
      </c>
      <c r="N101" s="639">
        <f>M101*VLOOKUP($B$9,'Base Costs'!$A$32:$B$37,2,FALSE)</f>
        <v>0</v>
      </c>
      <c r="O101" s="642">
        <f t="shared" si="11"/>
        <v>0</v>
      </c>
      <c r="S101" s="596"/>
      <c r="Y101" s="575"/>
    </row>
    <row r="102" spans="1:26" ht="15" hidden="1" customHeight="1" outlineLevel="1" x14ac:dyDescent="0.15">
      <c r="B102" s="204" t="s">
        <v>332</v>
      </c>
      <c r="C102" s="834" t="s">
        <v>332</v>
      </c>
      <c r="D102" s="844">
        <v>1</v>
      </c>
      <c r="E102" s="655"/>
      <c r="F102" s="656"/>
      <c r="G102" s="651"/>
      <c r="H102" s="652"/>
      <c r="I102" s="657"/>
      <c r="J102" s="638">
        <f>VLOOKUP(C102,'Base Costs'!$U$44:$V$56,2,FALSE)</f>
        <v>0</v>
      </c>
      <c r="K102" s="639">
        <f>J102*D102</f>
        <v>0</v>
      </c>
      <c r="L102" s="640">
        <v>0.35</v>
      </c>
      <c r="M102" s="641">
        <f t="shared" si="10"/>
        <v>0</v>
      </c>
      <c r="N102" s="639">
        <f>M102*VLOOKUP($B$9,'Base Costs'!$A$32:$B$37,2,FALSE)</f>
        <v>0</v>
      </c>
      <c r="O102" s="642">
        <f t="shared" si="11"/>
        <v>0</v>
      </c>
      <c r="S102" s="596"/>
      <c r="Y102" s="575"/>
    </row>
    <row r="103" spans="1:26" ht="15" hidden="1" customHeight="1" outlineLevel="1" x14ac:dyDescent="0.15">
      <c r="B103" s="487" t="s">
        <v>66</v>
      </c>
      <c r="C103" s="33" t="s">
        <v>67</v>
      </c>
      <c r="D103" s="637"/>
      <c r="E103" s="655" t="str">
        <f>IF(C103="","",VLOOKUP(C103,CCBASE!$A$53:$D$73,4,FALSE))</f>
        <v/>
      </c>
      <c r="F103" s="656"/>
      <c r="G103" s="651"/>
      <c r="H103" s="652"/>
      <c r="I103" s="657"/>
      <c r="J103" s="638">
        <f>IF(C103="",0,VLOOKUP(C103,CCBASE!$A$53:$C$73,2,FALSE))</f>
        <v>0</v>
      </c>
      <c r="K103" s="639">
        <f>J103*D103</f>
        <v>0</v>
      </c>
      <c r="L103" s="640">
        <v>0.44</v>
      </c>
      <c r="M103" s="641">
        <f t="shared" si="10"/>
        <v>0</v>
      </c>
      <c r="N103" s="639">
        <f>M103*VLOOKUP($B$9,'Base Costs'!$A$32:$B$37,2,FALSE)</f>
        <v>0</v>
      </c>
      <c r="O103" s="642">
        <f t="shared" si="11"/>
        <v>0</v>
      </c>
      <c r="S103" s="596"/>
      <c r="Y103" s="575"/>
    </row>
    <row r="104" spans="1:26" ht="15" hidden="1" customHeight="1" outlineLevel="1" x14ac:dyDescent="0.15">
      <c r="A104" s="568">
        <v>289</v>
      </c>
      <c r="B104" s="487" t="s">
        <v>71</v>
      </c>
      <c r="C104" s="33" t="s">
        <v>72</v>
      </c>
      <c r="D104" s="658">
        <f>ROUNDUP($F99/1000,0)</f>
        <v>0</v>
      </c>
      <c r="E104" s="950" t="s">
        <v>73</v>
      </c>
      <c r="F104" s="941"/>
      <c r="G104" s="656"/>
      <c r="H104" s="652"/>
      <c r="I104" s="657"/>
      <c r="J104" s="638">
        <f>IF(D104=0,0,VLOOKUP(C104,'Base Costs'!$A$19:$B$22,2,FALSE))</f>
        <v>0</v>
      </c>
      <c r="K104" s="639">
        <f>J104*D104</f>
        <v>0</v>
      </c>
      <c r="L104" s="640">
        <v>0.44</v>
      </c>
      <c r="M104" s="641">
        <f t="shared" si="10"/>
        <v>0</v>
      </c>
      <c r="N104" s="639">
        <f>M104*VLOOKUP($B$9,'Base Costs'!$A$32:$B$37,2,FALSE)</f>
        <v>0</v>
      </c>
      <c r="O104" s="642">
        <f t="shared" si="11"/>
        <v>0</v>
      </c>
      <c r="S104" s="596"/>
      <c r="Y104" s="575"/>
    </row>
    <row r="105" spans="1:26" ht="15" hidden="1" customHeight="1" outlineLevel="1" x14ac:dyDescent="0.15">
      <c r="A105" s="568">
        <v>242</v>
      </c>
      <c r="B105" s="487" t="s">
        <v>77</v>
      </c>
      <c r="C105" s="654"/>
      <c r="D105" s="644" t="s">
        <v>78</v>
      </c>
      <c r="E105" s="651"/>
      <c r="F105" s="650"/>
      <c r="G105" s="651"/>
      <c r="H105" s="652"/>
      <c r="I105" s="657"/>
      <c r="J105" s="638">
        <f>IF(C105=0,0,'Base Costs'!$B$26)</f>
        <v>0</v>
      </c>
      <c r="K105" s="639">
        <f>J105*C105</f>
        <v>0</v>
      </c>
      <c r="L105" s="640">
        <v>0.44</v>
      </c>
      <c r="M105" s="641">
        <f t="shared" si="10"/>
        <v>0</v>
      </c>
      <c r="N105" s="639">
        <f>M105*VLOOKUP($B$9,'Base Costs'!$A$32:$B$37,2,FALSE)</f>
        <v>0</v>
      </c>
      <c r="O105" s="642">
        <f t="shared" si="11"/>
        <v>0</v>
      </c>
      <c r="S105" s="596"/>
      <c r="Y105" s="575"/>
    </row>
    <row r="106" spans="1:26" ht="15" hidden="1" customHeight="1" outlineLevel="1" x14ac:dyDescent="0.15">
      <c r="A106" s="568">
        <v>220</v>
      </c>
      <c r="B106" s="633" t="s">
        <v>80</v>
      </c>
      <c r="C106" s="654"/>
      <c r="D106" s="644" t="s">
        <v>81</v>
      </c>
      <c r="E106" s="650"/>
      <c r="F106" s="650"/>
      <c r="G106" s="659" t="str">
        <f>IF(ISNUMBER(SEARCH("KSA",$D107)),"MAX. EXTRACT (m³/s)", "")</f>
        <v/>
      </c>
      <c r="H106" s="942" t="str">
        <f>IF(ISNUMBER(SEARCH("MUAP",$D99)),"MAX.  SUPPLY (m³/s)",IF(ISNUMBER(SEARCH("SPECIAL",$D99)),"MAX.  SUPPLY (m³/s)",(IF(ISNUMBER(SEARCH("F",$D99)),"MAX.  SUPPLY (m³/s)",""))))</f>
        <v/>
      </c>
      <c r="I106" s="943"/>
      <c r="J106" s="638">
        <f>IF(C106=0,0,'Base Costs'!$B$29)</f>
        <v>0</v>
      </c>
      <c r="K106" s="639">
        <f>J106*C106</f>
        <v>0</v>
      </c>
      <c r="L106" s="640">
        <v>0.44</v>
      </c>
      <c r="M106" s="641">
        <f t="shared" si="10"/>
        <v>0</v>
      </c>
      <c r="N106" s="639">
        <f>M106*VLOOKUP($B$9,'Base Costs'!$A$32:$B$37,2,FALSE)</f>
        <v>0</v>
      </c>
      <c r="O106" s="642">
        <f t="shared" si="11"/>
        <v>0</v>
      </c>
      <c r="S106" s="596"/>
      <c r="Y106" s="575"/>
    </row>
    <row r="107" spans="1:26" ht="15" hidden="1" customHeight="1" outlineLevel="1" x14ac:dyDescent="0.15">
      <c r="A107" s="568">
        <v>103</v>
      </c>
      <c r="B107" s="633" t="s">
        <v>82</v>
      </c>
      <c r="C107" s="643">
        <f>IF(ISNUMBER(SEARCH("CMW",D99)),1,IF(F97=0,0,(ROUNDDOWN(((((F99-(100+(50*H97))))/H99)/500),0)*H97)))</f>
        <v>0</v>
      </c>
      <c r="D107" s="644" t="str">
        <f>VLOOKUP(D99,'Base Costs'!$A$39:$B$58,2,FALSE)</f>
        <v>FILTER TYPE</v>
      </c>
      <c r="E107" s="660" t="str">
        <f>IF(C107=0,0,IF(D107="KSA",ROUND(I99/C107,3),""))&amp; "  m³/s per filter"</f>
        <v>0  m³/s per filter</v>
      </c>
      <c r="F107" s="660" t="str">
        <f>IF(C107=0," Pa",ROUND((((I99*3600)/(C107*I96))^2),1)+20&amp; " Pa")</f>
        <v xml:space="preserve"> Pa</v>
      </c>
      <c r="G107" s="661" t="str">
        <f>IF(ISNUMBER(SEARCH("KSA",$D107)),$C107*0.25, "")</f>
        <v/>
      </c>
      <c r="H107" s="949" t="str">
        <f>IF(ISNUMBER(SEARCH("MUAP",$D99)),0.225*($F99/1000),IF(ISNUMBER(SEARCH("SPECIAL",$D99)),0.225*($F99/1000),(IF(ISNUMBER(SEARCH("F",$D99)),0.225*($F99/1000),""))))</f>
        <v/>
      </c>
      <c r="I107" s="943"/>
      <c r="J107" s="638">
        <f>IF(ISNA(D107),0,(VLOOKUP(D107,'Base Costs'!$Q$4:$R$11,2,FALSE)))</f>
        <v>0</v>
      </c>
      <c r="K107" s="639">
        <f>IF(ISNA(D107),0,IF(D107="MX",J107*1,J107*C107))</f>
        <v>0</v>
      </c>
      <c r="L107" s="640">
        <v>0.44</v>
      </c>
      <c r="M107" s="641">
        <f t="shared" si="10"/>
        <v>0</v>
      </c>
      <c r="N107" s="639">
        <f>M107*VLOOKUP($B$9,'Base Costs'!$A$32:$B$37,2,FALSE)</f>
        <v>0</v>
      </c>
      <c r="O107" s="642">
        <f t="shared" si="11"/>
        <v>0</v>
      </c>
      <c r="S107" s="596"/>
      <c r="Y107" s="575"/>
    </row>
    <row r="108" spans="1:26" ht="15" hidden="1" customHeight="1" outlineLevel="1" x14ac:dyDescent="0.15">
      <c r="B108" s="204" t="s">
        <v>83</v>
      </c>
      <c r="C108" s="643">
        <v>0</v>
      </c>
      <c r="D108" s="735" t="str">
        <f>VLOOKUP(D99,'Base Costs'!$A$39:$C$58,3,FALSE)</f>
        <v>PSU</v>
      </c>
      <c r="E108" s="660" t="str">
        <f>IF(C108=0,0,IF(D108="PSU",ROUND(I99/C108,3),""))&amp; " m³/s per filter"</f>
        <v>0 m³/s per filter</v>
      </c>
      <c r="F108" s="660" t="str">
        <f>IF(C108=0," Pa",ROUND((((I99*3600)/(C108*I96))^2),1)+20&amp; " Pa")</f>
        <v xml:space="preserve"> Pa</v>
      </c>
      <c r="G108" s="661" t="str">
        <f>IF(ISNUMBER(SEARCH("KSA",$D108)),$C108*0.25, "")</f>
        <v/>
      </c>
      <c r="H108" s="949" t="str">
        <f>IF(ISNUMBER(SEARCH("MUAP",$D99)),0.225*($F99/1000),IF(ISNUMBER(SEARCH("SPECIAL",$D99)),0.225*($F99/1000),(IF(ISNUMBER(SEARCH("F",$D99)),0.225*($F99/1000),""))))</f>
        <v/>
      </c>
      <c r="I108" s="943"/>
      <c r="J108" s="638"/>
      <c r="K108" s="639">
        <f>IF(ISNA(D108),0,IF(D108="MX",J108*1,J108*C108))</f>
        <v>0</v>
      </c>
      <c r="L108" s="640">
        <v>0.44</v>
      </c>
      <c r="M108" s="641">
        <f t="shared" si="10"/>
        <v>0</v>
      </c>
      <c r="N108" s="639">
        <f>M108*VLOOKUP($B$9,'Base Costs'!$A$32:$B$37,2,FALSE)</f>
        <v>0</v>
      </c>
      <c r="O108" s="642">
        <f t="shared" si="11"/>
        <v>0</v>
      </c>
      <c r="S108" s="596"/>
      <c r="Y108" s="575"/>
    </row>
    <row r="109" spans="1:26" ht="15" hidden="1" customHeight="1" outlineLevel="1" x14ac:dyDescent="0.15">
      <c r="A109" s="568">
        <v>107</v>
      </c>
      <c r="B109" s="662" t="str">
        <f>IF(ISNUMBER(SEARCH("UV",D99)),"UV-C COMPONENTS",IF(ISNUMBER(SEARCH("CMW",D99)),"WATERWASH COMPONENTS",""))</f>
        <v/>
      </c>
      <c r="C109" s="663" t="str">
        <f>IF(H97=0,"UVR",IF(I99=0,"UVR",IF(I109&gt;0,("UVR")&amp;(INDEX('Base Costs'!$AH$5:$AI$10,(MATCH((I99/H97),'Base Costs'!$AI$5:$AI$10,-1)),1))&amp;("-")&amp;(H97),"UVR")))</f>
        <v>UVR</v>
      </c>
      <c r="D109" s="671" t="str">
        <f>VLOOKUP(C109,'Base Costs'!$Z$4:$AF$77,7,FALSE)&amp;" m³/s"</f>
        <v xml:space="preserve"> m³/s</v>
      </c>
      <c r="E109" s="665" t="str">
        <f>IF(ISNUMBER(SEARCH("L",C109)),"LONG RACK IN SECTION","SHORTRACK")</f>
        <v>SHORTRACK</v>
      </c>
      <c r="F109" s="666" t="str">
        <f>IF(ISNUMBER(SEARCH("L",C109)),ROUND(F99/H99,1)&amp;" mm","")</f>
        <v/>
      </c>
      <c r="G109" s="656"/>
      <c r="H109" s="656"/>
      <c r="I109" s="653">
        <f>IF(ISNUMBER(SEARCH("UV",D99)),1, 0)</f>
        <v>0</v>
      </c>
      <c r="J109" s="638">
        <f>IF(ISNA(C109),0,VLOOKUP(C109,'Base Costs'!$Z$4:$AF$77,2,FALSE))</f>
        <v>0</v>
      </c>
      <c r="K109" s="639">
        <f>J109*1</f>
        <v>0</v>
      </c>
      <c r="L109" s="640">
        <v>0.44</v>
      </c>
      <c r="M109" s="641">
        <f t="shared" si="10"/>
        <v>0</v>
      </c>
      <c r="N109" s="639">
        <f>M109*VLOOKUP($B$9,'Base Costs'!$A$32:$B$37,2,FALSE)</f>
        <v>0</v>
      </c>
      <c r="O109" s="642">
        <f t="shared" si="11"/>
        <v>0</v>
      </c>
      <c r="S109" s="596"/>
      <c r="Y109" s="575"/>
    </row>
    <row r="110" spans="1:26" ht="15" hidden="1" customHeight="1" outlineLevel="1" x14ac:dyDescent="0.15">
      <c r="B110" s="633" t="str">
        <f>IF(ISNUMBER(SEARCH("UV",D99)),"UV-C 2ND FILTER",IF(ISNUMBER(SEARCH("CMW",D99)),"CONTROL PANEL",""))</f>
        <v/>
      </c>
      <c r="C110" s="660" t="s">
        <v>84</v>
      </c>
      <c r="D110" s="662" t="str">
        <f>IF(ISNUMBER(SEARCH("CP1S",$C110)),"Up to 12m of canopy","")</f>
        <v/>
      </c>
      <c r="E110" s="662" t="str">
        <f>IF(ISNUMBER(SEARCH("CMW",$D99)),"CWS REQUIREMENT @ 2Bar","")</f>
        <v/>
      </c>
      <c r="F110" s="667" t="str">
        <f>IF(ISNUMBER(SEARCH("CMW",$D99)),$F99/1000*0.02&amp;" L/S","")</f>
        <v/>
      </c>
      <c r="G110" s="656"/>
      <c r="H110" s="652"/>
      <c r="I110" s="653">
        <f>C107</f>
        <v>0</v>
      </c>
      <c r="J110" s="638">
        <f>IF(ISNUMBER(SEARCH("CMW",D99)),VLOOKUP(C110,CCBASE!$A$81:$B$85,2,FALSE),(IF(I109&gt;0,'Base Costs'!$R$7,0)))</f>
        <v>0</v>
      </c>
      <c r="K110" s="639">
        <f>J110*C107</f>
        <v>0</v>
      </c>
      <c r="L110" s="640">
        <v>0.44</v>
      </c>
      <c r="M110" s="641">
        <f t="shared" si="10"/>
        <v>0</v>
      </c>
      <c r="N110" s="639">
        <f>M110*VLOOKUP($B$9,'Base Costs'!$A$32:$B$37,2,FALSE)</f>
        <v>0</v>
      </c>
      <c r="O110" s="642">
        <f t="shared" si="11"/>
        <v>0</v>
      </c>
      <c r="S110" s="596"/>
      <c r="Y110" s="575"/>
    </row>
    <row r="111" spans="1:26" ht="15" hidden="1" customHeight="1" outlineLevel="1" x14ac:dyDescent="0.15">
      <c r="A111" s="568">
        <v>285</v>
      </c>
      <c r="B111" s="633" t="str">
        <f>IF(ISNUMBER(SEARCH("UV",D99)),"UV-C WORKSHOP WIRING",IF(ISNUMBER(SEARCH("CMW",D99)),"W/W PODS",""))</f>
        <v/>
      </c>
      <c r="C111" s="660" t="s">
        <v>85</v>
      </c>
      <c r="D111" s="660">
        <v>0</v>
      </c>
      <c r="E111" s="662" t="str">
        <f>IF(ISNUMBER(SEARCH("CMW",$D99)),"HWS REQUIREMENT @ 60°C ","")</f>
        <v/>
      </c>
      <c r="F111" s="668" t="str">
        <f>IF(ISNUMBER(SEARCH("CMW",$D99)),$F99/1000*0.103&amp;" L/S","")</f>
        <v/>
      </c>
      <c r="G111" s="656"/>
      <c r="H111" s="652"/>
      <c r="I111" s="653">
        <f>IF(I109&gt;0,H97,0)</f>
        <v>0</v>
      </c>
      <c r="J111" s="638">
        <f>IF(ISNUMBER(SEARCH("CMW",D99)),VLOOKUP(C111,'Base Costs'!$Q$35:$R$45,2,FALSE),IF(I111=0,0,36*1.03))</f>
        <v>0</v>
      </c>
      <c r="K111" s="639">
        <f>IF(ISNUMBER(SEARCH("CMW",D99)),J111*D111,J111*H97)</f>
        <v>0</v>
      </c>
      <c r="L111" s="640">
        <v>0.44</v>
      </c>
      <c r="M111" s="641">
        <f t="shared" si="10"/>
        <v>0</v>
      </c>
      <c r="N111" s="639">
        <f>M111*VLOOKUP($B$9,'Base Costs'!$A$32:$B$37,2,FALSE)</f>
        <v>0</v>
      </c>
      <c r="O111" s="642">
        <f t="shared" si="11"/>
        <v>0</v>
      </c>
      <c r="S111" s="596"/>
      <c r="Y111" s="575"/>
    </row>
    <row r="112" spans="1:26" ht="15" hidden="1" customHeight="1" outlineLevel="1" x14ac:dyDescent="0.15">
      <c r="A112" s="568">
        <v>286</v>
      </c>
      <c r="B112" s="633" t="str">
        <f>IF(ISNUMBER(SEARCH("CMW",$D99)),"CWS/HWS PIPEWORK UP TO 5M",IF(ISNUMBER(SEARCH("UV",$D99)),"MU5 INTERFACE", ""))</f>
        <v/>
      </c>
      <c r="C112" s="660">
        <v>1</v>
      </c>
      <c r="D112" s="669"/>
      <c r="E112" s="662" t="str">
        <f>IF(ISNUMBER(SEARCH("CMW",$D99)),"HW STORAGE 3m wash","")</f>
        <v/>
      </c>
      <c r="F112" s="667" t="str">
        <f>IF(ISNUMBER(SEARCH("CMW",$D99)),($F99/1000)*0.103*180&amp;" L","")</f>
        <v/>
      </c>
      <c r="G112" s="651"/>
      <c r="H112" s="652"/>
      <c r="I112" s="653">
        <f>IF(I109=0,0,1)</f>
        <v>0</v>
      </c>
      <c r="J112" s="638">
        <f>IF(B112="CWS/HWS PIPEWORK UP TO 5M",CCBASE!$B$65,IF(I112=0,0,100*1.44))</f>
        <v>0</v>
      </c>
      <c r="K112" s="639">
        <f>J112*C112</f>
        <v>0</v>
      </c>
      <c r="L112" s="640">
        <v>0.44</v>
      </c>
      <c r="M112" s="641">
        <f t="shared" si="10"/>
        <v>0</v>
      </c>
      <c r="N112" s="639">
        <f>M112*VLOOKUP($B$9,'Base Costs'!$A$32:$B$37,2,FALSE)</f>
        <v>0</v>
      </c>
      <c r="O112" s="642">
        <f t="shared" si="11"/>
        <v>0</v>
      </c>
      <c r="S112" s="596"/>
      <c r="Y112" s="575"/>
    </row>
    <row r="113" spans="1:26" ht="15" customHeight="1" collapsed="1" x14ac:dyDescent="0.15">
      <c r="B113" s="616"/>
      <c r="C113" s="672"/>
      <c r="E113" s="672"/>
      <c r="F113" s="672"/>
      <c r="G113" s="618" t="s">
        <v>23</v>
      </c>
      <c r="H113" s="617"/>
      <c r="I113" s="618">
        <f>IF(ISNUMBER(SEARCH("UV",HD21)),49.7,71.75)</f>
        <v>71.75</v>
      </c>
      <c r="J113" s="619"/>
      <c r="K113" s="673"/>
      <c r="L113" s="674"/>
      <c r="M113" s="673"/>
      <c r="N113" s="673"/>
      <c r="S113" s="596"/>
      <c r="Y113" s="575"/>
    </row>
    <row r="114" spans="1:26" s="576" customFormat="1" ht="15" customHeight="1" x14ac:dyDescent="0.15">
      <c r="A114" s="568"/>
      <c r="B114" s="176" t="s">
        <v>86</v>
      </c>
      <c r="C114" s="622">
        <f>IF(H114&lt;1,0,(((VLOOKUP(G114,CC!$D$2:$F$670,3,FALSE))*H114)+IF(ISNUMBER(SEARCH("CMW",D116)),VLOOKUP(C127,CCBASE!$A$81:$C$85,3,FALSE),0)+(VLOOKUP(C119,CCBASE!$A$53:$C$73,3,FALSE)*D119)+(VLOOKUP(C120,CCBASE!$A$53:$C$73,3,FALSE)*D120))&amp;" HRS")</f>
        <v>0</v>
      </c>
      <c r="D114" s="623" t="str">
        <f>D116</f>
        <v>CANOPY TYPE</v>
      </c>
      <c r="E114" s="604">
        <f>CEILING(IF(C116="WALL",E116, (E116/2)),250)</f>
        <v>0</v>
      </c>
      <c r="F114" s="604">
        <f>IF(H114&lt;1,0,CEILING((F116-100)/H116,250))</f>
        <v>0</v>
      </c>
      <c r="G114" s="623" t="str">
        <f>D114&amp;F114&amp;E114</f>
        <v>CANOPY TYPE00</v>
      </c>
      <c r="H114" s="622">
        <f>IF(E116=0,0,IF(F116=0,0,(E116/(IF(C116="WALL",E116,(E116/2)))*H116)))</f>
        <v>0</v>
      </c>
      <c r="I114" s="622" t="str">
        <f>I116&amp;" m³/s"</f>
        <v xml:space="preserve"> m³/s</v>
      </c>
      <c r="J114" s="624"/>
      <c r="K114" s="625">
        <f>SUBTOTAL(9,K116:K129)</f>
        <v>0</v>
      </c>
      <c r="L114" s="606" t="str">
        <f>IF(K114=0,"-",O114/M114)</f>
        <v>-</v>
      </c>
      <c r="M114" s="625">
        <f>SUBTOTAL(9,M116:M129)</f>
        <v>0</v>
      </c>
      <c r="N114" s="607">
        <f>SUBTOTAL(9,N116:N129)</f>
        <v>0</v>
      </c>
      <c r="O114" s="625">
        <f>SUBTOTAL(9,O116:O129)</f>
        <v>0</v>
      </c>
      <c r="P114" s="575"/>
      <c r="Q114" s="575"/>
      <c r="R114" s="575"/>
      <c r="S114" s="615"/>
      <c r="T114" s="575"/>
      <c r="X114" s="575"/>
      <c r="Y114" s="575"/>
      <c r="Z114" s="575"/>
    </row>
    <row r="115" spans="1:26" ht="15" hidden="1" customHeight="1" outlineLevel="1" x14ac:dyDescent="0.15">
      <c r="B115" s="626"/>
      <c r="C115" s="627" t="s">
        <v>54</v>
      </c>
      <c r="D115" s="628" t="s">
        <v>55</v>
      </c>
      <c r="E115" s="627" t="s">
        <v>56</v>
      </c>
      <c r="F115" s="627" t="s">
        <v>57</v>
      </c>
      <c r="G115" s="627" t="s">
        <v>58</v>
      </c>
      <c r="H115" s="627" t="s">
        <v>59</v>
      </c>
      <c r="I115" s="628" t="s">
        <v>60</v>
      </c>
      <c r="J115" s="629"/>
      <c r="K115" s="630"/>
      <c r="L115" s="630"/>
      <c r="M115" s="631"/>
      <c r="N115" s="632"/>
      <c r="O115" s="614"/>
      <c r="S115" s="596"/>
      <c r="Y115" s="575"/>
    </row>
    <row r="116" spans="1:26" ht="15" hidden="1" customHeight="1" outlineLevel="1" x14ac:dyDescent="0.2">
      <c r="A116" s="568">
        <v>210</v>
      </c>
      <c r="B116" s="633" t="s">
        <v>61</v>
      </c>
      <c r="C116" s="634" t="s">
        <v>62</v>
      </c>
      <c r="D116" s="635" t="s">
        <v>87</v>
      </c>
      <c r="E116" s="636"/>
      <c r="F116" s="636"/>
      <c r="G116" s="636"/>
      <c r="H116" s="637"/>
      <c r="I116" s="636"/>
      <c r="J116" s="638">
        <f>IF(ISNA(C114),0,IF(F114&gt;3000,0,(IF(H114&lt;1,0,((VLOOKUP(G114,CC!$D$2:$E$670,2,FALSE))*H114)+((VLOOKUP(G114,CC!$D$2:$AD$670,17,FALSE)*(H114/H116)))))))</f>
        <v>0</v>
      </c>
      <c r="K116" s="639">
        <f>J116*1</f>
        <v>0</v>
      </c>
      <c r="L116" s="640">
        <v>0.44</v>
      </c>
      <c r="M116" s="641">
        <f t="shared" ref="M116:M129" si="12">K116/(1-L116)*(1+$C$9)</f>
        <v>0</v>
      </c>
      <c r="N116" s="639">
        <f>M116*VLOOKUP($B$9,'Base Costs'!$A$32:$B$37,2,FALSE)</f>
        <v>0</v>
      </c>
      <c r="O116" s="642">
        <f t="shared" ref="O116:O129" si="13">M116-K116</f>
        <v>0</v>
      </c>
      <c r="S116" s="596"/>
      <c r="Y116" s="575"/>
    </row>
    <row r="117" spans="1:26" ht="15" hidden="1" customHeight="1" outlineLevel="1" x14ac:dyDescent="0.15">
      <c r="A117" s="568">
        <v>104</v>
      </c>
      <c r="B117" s="633" t="s">
        <v>64</v>
      </c>
      <c r="C117" s="635" t="s">
        <v>65</v>
      </c>
      <c r="D117" s="643"/>
      <c r="E117" s="644"/>
      <c r="F117" s="645"/>
      <c r="G117" s="646"/>
      <c r="H117" s="570"/>
      <c r="I117" s="570"/>
      <c r="J117" s="638">
        <f>IF(ISNA(C114),0,IF(D117=0,0,IF(C117="FLO",VLOOKUP(E117,'Base Costs'!$M$4:$N$14,2,FALSE),IF(C117="LED STRIP",VLOOKUP(E117,'Base Costs'!$M$4:$N$14,2,FALSE),(VLOOKUP(C117,'Base Costs'!$M$4:$N$14,2,FALSE))))))</f>
        <v>0</v>
      </c>
      <c r="K117" s="639">
        <f>J117*D117</f>
        <v>0</v>
      </c>
      <c r="L117" s="640">
        <v>0.31</v>
      </c>
      <c r="M117" s="641">
        <f t="shared" si="12"/>
        <v>0</v>
      </c>
      <c r="N117" s="639">
        <f>M117*VLOOKUP($B$9,'Base Costs'!$A$32:$B$37,2,FALSE)</f>
        <v>0</v>
      </c>
      <c r="O117" s="642">
        <f t="shared" si="13"/>
        <v>0</v>
      </c>
      <c r="P117" s="647"/>
      <c r="S117" s="596"/>
      <c r="Y117" s="575"/>
    </row>
    <row r="118" spans="1:26" ht="15" hidden="1" customHeight="1" outlineLevel="1" x14ac:dyDescent="0.15">
      <c r="A118" s="568">
        <v>234</v>
      </c>
      <c r="B118" s="204" t="s">
        <v>331</v>
      </c>
      <c r="C118" s="834" t="s">
        <v>331</v>
      </c>
      <c r="D118" s="648"/>
      <c r="E118" s="649"/>
      <c r="F118" s="650"/>
      <c r="G118" s="651"/>
      <c r="H118" s="652"/>
      <c r="I118" s="653">
        <v>1</v>
      </c>
      <c r="J118" s="638">
        <f>VLOOKUP(C118,'Base Costs'!$U$4:$V$41,2,FALSE)</f>
        <v>0</v>
      </c>
      <c r="K118" s="639">
        <f>J118*1</f>
        <v>0</v>
      </c>
      <c r="L118" s="640">
        <v>0.25</v>
      </c>
      <c r="M118" s="641">
        <f t="shared" si="12"/>
        <v>0</v>
      </c>
      <c r="N118" s="639">
        <f>M118*VLOOKUP($B$9,'Base Costs'!$A$32:$B$37,2,FALSE)</f>
        <v>0</v>
      </c>
      <c r="O118" s="642">
        <f t="shared" si="13"/>
        <v>0</v>
      </c>
      <c r="S118" s="596"/>
      <c r="Y118" s="575"/>
    </row>
    <row r="119" spans="1:26" ht="15" hidden="1" customHeight="1" outlineLevel="1" x14ac:dyDescent="0.15">
      <c r="B119" s="204" t="s">
        <v>332</v>
      </c>
      <c r="C119" s="834" t="s">
        <v>332</v>
      </c>
      <c r="D119" s="844">
        <v>1</v>
      </c>
      <c r="E119" s="655"/>
      <c r="F119" s="656"/>
      <c r="G119" s="651"/>
      <c r="H119" s="652"/>
      <c r="I119" s="657"/>
      <c r="J119" s="638">
        <f>VLOOKUP(C119,'Base Costs'!$U$44:$V$56,2,FALSE)</f>
        <v>0</v>
      </c>
      <c r="K119" s="639">
        <f>J119*D119</f>
        <v>0</v>
      </c>
      <c r="L119" s="640">
        <v>0.35</v>
      </c>
      <c r="M119" s="641">
        <f t="shared" si="12"/>
        <v>0</v>
      </c>
      <c r="N119" s="639">
        <f>M119*VLOOKUP($B$9,'Base Costs'!$A$32:$B$37,2,FALSE)</f>
        <v>0</v>
      </c>
      <c r="O119" s="642">
        <f t="shared" si="13"/>
        <v>0</v>
      </c>
      <c r="S119" s="596"/>
      <c r="Y119" s="575"/>
    </row>
    <row r="120" spans="1:26" ht="15" hidden="1" customHeight="1" outlineLevel="1" x14ac:dyDescent="0.15">
      <c r="B120" s="487" t="s">
        <v>66</v>
      </c>
      <c r="C120" s="33" t="s">
        <v>67</v>
      </c>
      <c r="D120" s="637"/>
      <c r="E120" s="655" t="str">
        <f>IF(C120="","",VLOOKUP(C120,CCBASE!$A$53:$D$73,4,FALSE))</f>
        <v/>
      </c>
      <c r="F120" s="656"/>
      <c r="G120" s="651"/>
      <c r="H120" s="652"/>
      <c r="I120" s="657"/>
      <c r="J120" s="638">
        <f>IF(C120="",0,VLOOKUP(C120,CCBASE!$A$53:$C$73,2,FALSE))</f>
        <v>0</v>
      </c>
      <c r="K120" s="639">
        <f>J120*D120</f>
        <v>0</v>
      </c>
      <c r="L120" s="640">
        <v>0.44</v>
      </c>
      <c r="M120" s="641">
        <f t="shared" si="12"/>
        <v>0</v>
      </c>
      <c r="N120" s="639">
        <f>M120*VLOOKUP($B$9,'Base Costs'!$A$32:$B$37,2,FALSE)</f>
        <v>0</v>
      </c>
      <c r="O120" s="642">
        <f t="shared" si="13"/>
        <v>0</v>
      </c>
      <c r="S120" s="596"/>
      <c r="Y120" s="575"/>
    </row>
    <row r="121" spans="1:26" ht="15" hidden="1" customHeight="1" outlineLevel="1" x14ac:dyDescent="0.15">
      <c r="A121" s="568">
        <v>289</v>
      </c>
      <c r="B121" s="487" t="s">
        <v>71</v>
      </c>
      <c r="C121" s="33" t="s">
        <v>72</v>
      </c>
      <c r="D121" s="658">
        <f>ROUNDUP($F116/1000,0)</f>
        <v>0</v>
      </c>
      <c r="E121" s="950" t="s">
        <v>73</v>
      </c>
      <c r="F121" s="941"/>
      <c r="G121" s="656"/>
      <c r="H121" s="652"/>
      <c r="I121" s="657"/>
      <c r="J121" s="638">
        <f>IF(D121=0,0,VLOOKUP(C121,'Base Costs'!$A$19:$B$22,2,FALSE))</f>
        <v>0</v>
      </c>
      <c r="K121" s="639">
        <f>J121*D121</f>
        <v>0</v>
      </c>
      <c r="L121" s="640">
        <v>0.44</v>
      </c>
      <c r="M121" s="641">
        <f t="shared" si="12"/>
        <v>0</v>
      </c>
      <c r="N121" s="639">
        <f>M121*VLOOKUP($B$9,'Base Costs'!$A$32:$B$37,2,FALSE)</f>
        <v>0</v>
      </c>
      <c r="O121" s="642">
        <f t="shared" si="13"/>
        <v>0</v>
      </c>
      <c r="S121" s="596"/>
      <c r="Y121" s="575"/>
    </row>
    <row r="122" spans="1:26" ht="15" hidden="1" customHeight="1" outlineLevel="1" x14ac:dyDescent="0.15">
      <c r="A122" s="568">
        <v>242</v>
      </c>
      <c r="B122" s="487" t="s">
        <v>77</v>
      </c>
      <c r="C122" s="654"/>
      <c r="D122" s="644" t="s">
        <v>78</v>
      </c>
      <c r="E122" s="651"/>
      <c r="F122" s="650"/>
      <c r="G122" s="651"/>
      <c r="H122" s="652"/>
      <c r="I122" s="657"/>
      <c r="J122" s="638">
        <f>IF(C122=0,0,'Base Costs'!$B$26)</f>
        <v>0</v>
      </c>
      <c r="K122" s="639">
        <f>J122*C122</f>
        <v>0</v>
      </c>
      <c r="L122" s="640">
        <v>0.44</v>
      </c>
      <c r="M122" s="641">
        <f t="shared" si="12"/>
        <v>0</v>
      </c>
      <c r="N122" s="639">
        <f>M122*VLOOKUP($B$9,'Base Costs'!$A$32:$B$37,2,FALSE)</f>
        <v>0</v>
      </c>
      <c r="O122" s="642">
        <f t="shared" si="13"/>
        <v>0</v>
      </c>
      <c r="S122" s="596"/>
      <c r="Y122" s="575"/>
    </row>
    <row r="123" spans="1:26" ht="15" hidden="1" customHeight="1" outlineLevel="1" x14ac:dyDescent="0.15">
      <c r="A123" s="568">
        <v>220</v>
      </c>
      <c r="B123" s="633" t="s">
        <v>80</v>
      </c>
      <c r="C123" s="654"/>
      <c r="D123" s="644" t="s">
        <v>81</v>
      </c>
      <c r="E123" s="650"/>
      <c r="F123" s="650"/>
      <c r="G123" s="659" t="str">
        <f>IF(ISNUMBER(SEARCH("KSA",$D124)),"MAX. EXTRACT (m³/s)", "")</f>
        <v/>
      </c>
      <c r="H123" s="942" t="str">
        <f>IF(ISNUMBER(SEARCH("MUAP",$D116)),"MAX.  SUPPLY (m³/s)",IF(ISNUMBER(SEARCH("SPECIAL",$D116)),"MAX.  SUPPLY (m³/s)",(IF(ISNUMBER(SEARCH("F",$D116)),"MAX.  SUPPLY (m³/s)",""))))</f>
        <v/>
      </c>
      <c r="I123" s="943"/>
      <c r="J123" s="638">
        <f>IF(C123=0,0,'Base Costs'!$B$29)</f>
        <v>0</v>
      </c>
      <c r="K123" s="639">
        <f>J123*C123</f>
        <v>0</v>
      </c>
      <c r="L123" s="640">
        <v>0.44</v>
      </c>
      <c r="M123" s="641">
        <f t="shared" si="12"/>
        <v>0</v>
      </c>
      <c r="N123" s="639">
        <f>M123*VLOOKUP($B$9,'Base Costs'!$A$32:$B$37,2,FALSE)</f>
        <v>0</v>
      </c>
      <c r="O123" s="642">
        <f t="shared" si="13"/>
        <v>0</v>
      </c>
      <c r="S123" s="596"/>
      <c r="Y123" s="575"/>
    </row>
    <row r="124" spans="1:26" ht="15" hidden="1" customHeight="1" outlineLevel="1" x14ac:dyDescent="0.15">
      <c r="A124" s="568">
        <v>103</v>
      </c>
      <c r="B124" s="633" t="s">
        <v>82</v>
      </c>
      <c r="C124" s="643">
        <f>IF(ISNUMBER(SEARCH("CMW",D116)),1,IF(F114=0,0,(ROUNDDOWN(((((F116-(100+(50*H114))))/H116)/500),0)*H114)))</f>
        <v>0</v>
      </c>
      <c r="D124" s="644" t="str">
        <f>VLOOKUP(D116,'Base Costs'!$A$39:$B$58,2,FALSE)</f>
        <v>FILTER TYPE</v>
      </c>
      <c r="E124" s="660" t="str">
        <f>IF(C124=0,0,IF(D124="KSA",ROUND(I116/C124,3),""))&amp; "  m³/s per filter"</f>
        <v>0  m³/s per filter</v>
      </c>
      <c r="F124" s="660" t="str">
        <f>IF(C124=0," Pa",ROUND((((I116*3600)/(C124*I113))^2),1)+20&amp; " Pa")</f>
        <v xml:space="preserve"> Pa</v>
      </c>
      <c r="G124" s="661" t="str">
        <f>IF(ISNUMBER(SEARCH("KSA",$D124)),$C124*0.25, "")</f>
        <v/>
      </c>
      <c r="H124" s="949" t="str">
        <f>IF(ISNUMBER(SEARCH("MUAP",$D116)),0.225*($F116/1000),IF(ISNUMBER(SEARCH("SPECIAL",$D116)),0.225*($F116/1000),(IF(ISNUMBER(SEARCH("F",$D116)),0.225*($F116/1000),""))))</f>
        <v/>
      </c>
      <c r="I124" s="943"/>
      <c r="J124" s="638">
        <f>IF(ISNA(D124),0,(VLOOKUP(D124,'Base Costs'!$Q$4:$R$11,2,FALSE)))</f>
        <v>0</v>
      </c>
      <c r="K124" s="639">
        <f>IF(ISNA(D124),0,IF(D124="MX",J124*1,J124*C124))</f>
        <v>0</v>
      </c>
      <c r="L124" s="640">
        <v>0.44</v>
      </c>
      <c r="M124" s="641">
        <f t="shared" si="12"/>
        <v>0</v>
      </c>
      <c r="N124" s="639">
        <f>M124*VLOOKUP($B$9,'Base Costs'!$A$32:$B$37,2,FALSE)</f>
        <v>0</v>
      </c>
      <c r="O124" s="642">
        <f t="shared" si="13"/>
        <v>0</v>
      </c>
      <c r="S124" s="596"/>
      <c r="Y124" s="575"/>
    </row>
    <row r="125" spans="1:26" ht="15" hidden="1" customHeight="1" outlineLevel="1" x14ac:dyDescent="0.15">
      <c r="B125" s="204" t="s">
        <v>83</v>
      </c>
      <c r="C125" s="643">
        <v>0</v>
      </c>
      <c r="D125" s="735" t="str">
        <f>VLOOKUP(D116,'Base Costs'!$A$39:$C$58,3,FALSE)</f>
        <v>PSU</v>
      </c>
      <c r="E125" s="660" t="str">
        <f>IF(C125=0,0,IF(D125="PSU",ROUND(I116/C125,3),""))&amp; " m³/s per filter"</f>
        <v>0 m³/s per filter</v>
      </c>
      <c r="F125" s="660" t="str">
        <f>IF(C125=0," Pa",ROUND((((I116*3600)/(C125*I113))^2),1)+20&amp; " Pa")</f>
        <v xml:space="preserve"> Pa</v>
      </c>
      <c r="G125" s="661" t="str">
        <f>IF(ISNUMBER(SEARCH("KSA",$D125)),$C125*0.25, "")</f>
        <v/>
      </c>
      <c r="H125" s="949" t="str">
        <f>IF(ISNUMBER(SEARCH("MUAP",$D116)),0.225*($F116/1000),IF(ISNUMBER(SEARCH("SPECIAL",$D116)),0.225*($F116/1000),(IF(ISNUMBER(SEARCH("F",$D116)),0.225*($F116/1000),""))))</f>
        <v/>
      </c>
      <c r="I125" s="943"/>
      <c r="J125" s="638"/>
      <c r="K125" s="639">
        <f>IF(ISNA(D125),0,IF(D125="MX",J125*1,J125*C125))</f>
        <v>0</v>
      </c>
      <c r="L125" s="640">
        <v>0.44</v>
      </c>
      <c r="M125" s="641">
        <f t="shared" si="12"/>
        <v>0</v>
      </c>
      <c r="N125" s="639">
        <f>M125*VLOOKUP($B$9,'Base Costs'!$A$32:$B$37,2,FALSE)</f>
        <v>0</v>
      </c>
      <c r="O125" s="642">
        <f t="shared" si="13"/>
        <v>0</v>
      </c>
      <c r="S125" s="596"/>
      <c r="Y125" s="575"/>
    </row>
    <row r="126" spans="1:26" ht="15" hidden="1" customHeight="1" outlineLevel="1" x14ac:dyDescent="0.15">
      <c r="A126" s="568">
        <v>107</v>
      </c>
      <c r="B126" s="662" t="str">
        <f>IF(ISNUMBER(SEARCH("UV",D116)),"UV-C COMPONENTS",IF(ISNUMBER(SEARCH("CMW",D116)),"WATERWASH COMPONENTS",""))</f>
        <v/>
      </c>
      <c r="C126" s="663" t="str">
        <f>IF(H114=0,"UVR",IF(I116=0,"UVR",IF(I126&gt;0,("UVR")&amp;(INDEX('Base Costs'!$AH$5:$AI$10,(MATCH((I116/H114),'Base Costs'!$AI$5:$AI$10,-1)),1))&amp;("-")&amp;(H114),"UVR")))</f>
        <v>UVR</v>
      </c>
      <c r="D126" s="671" t="str">
        <f>VLOOKUP(C126,'Base Costs'!$Z$4:$AF$77,7,FALSE)&amp;" m³/s"</f>
        <v xml:space="preserve"> m³/s</v>
      </c>
      <c r="E126" s="665" t="str">
        <f>IF(ISNUMBER(SEARCH("L",C126)),"LONG RACK IN SECTION","SHORTRACK")</f>
        <v>SHORTRACK</v>
      </c>
      <c r="F126" s="666" t="str">
        <f>IF(ISNUMBER(SEARCH("L",C126)),ROUND(F116/H116,1)&amp;" mm","")</f>
        <v/>
      </c>
      <c r="G126" s="656"/>
      <c r="H126" s="656"/>
      <c r="I126" s="653">
        <f>IF(ISNUMBER(SEARCH("UV",D116)),1, 0)</f>
        <v>0</v>
      </c>
      <c r="J126" s="638">
        <f>IF(ISNA(C126),0,VLOOKUP(C126,'Base Costs'!$Z$4:$AF$77,2,FALSE))</f>
        <v>0</v>
      </c>
      <c r="K126" s="639">
        <f>J126*1</f>
        <v>0</v>
      </c>
      <c r="L126" s="640">
        <v>0.44</v>
      </c>
      <c r="M126" s="641">
        <f t="shared" si="12"/>
        <v>0</v>
      </c>
      <c r="N126" s="639">
        <f>M126*VLOOKUP($B$9,'Base Costs'!$A$32:$B$37,2,FALSE)</f>
        <v>0</v>
      </c>
      <c r="O126" s="642">
        <f t="shared" si="13"/>
        <v>0</v>
      </c>
      <c r="S126" s="596"/>
      <c r="Y126" s="575"/>
    </row>
    <row r="127" spans="1:26" ht="15" hidden="1" customHeight="1" outlineLevel="1" x14ac:dyDescent="0.15">
      <c r="B127" s="633" t="str">
        <f>IF(ISNUMBER(SEARCH("UV",D116)),"UV-C 2ND FILTER",IF(ISNUMBER(SEARCH("CMW",D116)),"CONTROL PANEL",""))</f>
        <v/>
      </c>
      <c r="C127" s="660" t="s">
        <v>84</v>
      </c>
      <c r="D127" s="662" t="str">
        <f>IF(ISNUMBER(SEARCH("CP1S",$C127)),"Up to 12m of canopy","")</f>
        <v/>
      </c>
      <c r="E127" s="662" t="str">
        <f>IF(ISNUMBER(SEARCH("CMW",$D116)),"CWS REQUIREMENT @ 2Bar","")</f>
        <v/>
      </c>
      <c r="F127" s="667" t="str">
        <f>IF(ISNUMBER(SEARCH("CMW",$D116)),$F116/1000*0.02&amp;" L/S","")</f>
        <v/>
      </c>
      <c r="G127" s="656"/>
      <c r="H127" s="652"/>
      <c r="I127" s="653">
        <f>C124</f>
        <v>0</v>
      </c>
      <c r="J127" s="638">
        <f>IF(ISNUMBER(SEARCH("CMW",D116)),VLOOKUP(C127,CCBASE!$A$81:$B$85,2,FALSE),(IF(I126&gt;0,'Base Costs'!$R$7,0)))</f>
        <v>0</v>
      </c>
      <c r="K127" s="639">
        <f>J127*C124</f>
        <v>0</v>
      </c>
      <c r="L127" s="640">
        <v>0.44</v>
      </c>
      <c r="M127" s="641">
        <f t="shared" si="12"/>
        <v>0</v>
      </c>
      <c r="N127" s="639">
        <f>M127*VLOOKUP($B$9,'Base Costs'!$A$32:$B$37,2,FALSE)</f>
        <v>0</v>
      </c>
      <c r="O127" s="642">
        <f t="shared" si="13"/>
        <v>0</v>
      </c>
      <c r="S127" s="596"/>
      <c r="Y127" s="575"/>
    </row>
    <row r="128" spans="1:26" ht="15" hidden="1" customHeight="1" outlineLevel="1" x14ac:dyDescent="0.15">
      <c r="A128" s="568">
        <v>285</v>
      </c>
      <c r="B128" s="633" t="str">
        <f>IF(ISNUMBER(SEARCH("UV",D116)),"UV-C WORKSHOP WIRING",IF(ISNUMBER(SEARCH("CMW",D116)),"W/W PODS",""))</f>
        <v/>
      </c>
      <c r="C128" s="660" t="s">
        <v>85</v>
      </c>
      <c r="D128" s="660">
        <v>0</v>
      </c>
      <c r="E128" s="662" t="str">
        <f>IF(ISNUMBER(SEARCH("CMW",$D116)),"HWS REQUIREMENT @ 60°C ","")</f>
        <v/>
      </c>
      <c r="F128" s="668" t="str">
        <f>IF(ISNUMBER(SEARCH("CMW",$D116)),$F116/1000*0.103&amp;" L/S","")</f>
        <v/>
      </c>
      <c r="G128" s="656"/>
      <c r="H128" s="652"/>
      <c r="I128" s="653">
        <f>IF(I126&gt;0,H114,0)</f>
        <v>0</v>
      </c>
      <c r="J128" s="638">
        <f>IF(ISNUMBER(SEARCH("CMW",D116)),VLOOKUP(C128,'Base Costs'!$Q$35:$R$45,2,FALSE),IF(I128=0,0,36*1.03))</f>
        <v>0</v>
      </c>
      <c r="K128" s="639">
        <f>IF(ISNUMBER(SEARCH("CMW",D116)),J128*D128,J128*H114)</f>
        <v>0</v>
      </c>
      <c r="L128" s="640">
        <v>0.44</v>
      </c>
      <c r="M128" s="641">
        <f t="shared" si="12"/>
        <v>0</v>
      </c>
      <c r="N128" s="639">
        <f>M128*VLOOKUP($B$9,'Base Costs'!$A$32:$B$37,2,FALSE)</f>
        <v>0</v>
      </c>
      <c r="O128" s="642">
        <f t="shared" si="13"/>
        <v>0</v>
      </c>
      <c r="S128" s="596"/>
      <c r="Y128" s="575"/>
    </row>
    <row r="129" spans="1:26" ht="15" hidden="1" customHeight="1" outlineLevel="1" x14ac:dyDescent="0.15">
      <c r="A129" s="568">
        <v>286</v>
      </c>
      <c r="B129" s="633" t="str">
        <f>IF(ISNUMBER(SEARCH("CMW",$D116)),"CWS/HWS PIPEWORK UP TO 5M",IF(ISNUMBER(SEARCH("UV",$D116)),"MU5 INTERFACE", ""))</f>
        <v/>
      </c>
      <c r="C129" s="660">
        <v>1</v>
      </c>
      <c r="D129" s="669"/>
      <c r="E129" s="662" t="str">
        <f>IF(ISNUMBER(SEARCH("CMW",$D116)),"HW STORAGE 3m wash","")</f>
        <v/>
      </c>
      <c r="F129" s="667" t="str">
        <f>IF(ISNUMBER(SEARCH("CMW",$D116)),($F116/1000)*0.103*180&amp;" L","")</f>
        <v/>
      </c>
      <c r="G129" s="651"/>
      <c r="H129" s="652"/>
      <c r="I129" s="653">
        <f>IF(I126=0,0,1)</f>
        <v>0</v>
      </c>
      <c r="J129" s="638">
        <f>IF(B129="CWS/HWS PIPEWORK UP TO 5M",CCBASE!$B$65,IF(I129=0,0,100*1.44))</f>
        <v>0</v>
      </c>
      <c r="K129" s="639">
        <f>J129*C129</f>
        <v>0</v>
      </c>
      <c r="L129" s="640">
        <v>0.44</v>
      </c>
      <c r="M129" s="641">
        <f t="shared" si="12"/>
        <v>0</v>
      </c>
      <c r="N129" s="639">
        <f>M129*VLOOKUP($B$9,'Base Costs'!$A$32:$B$37,2,FALSE)</f>
        <v>0</v>
      </c>
      <c r="O129" s="642">
        <f t="shared" si="13"/>
        <v>0</v>
      </c>
      <c r="S129" s="596"/>
      <c r="Y129" s="575"/>
    </row>
    <row r="130" spans="1:26" ht="15" customHeight="1" collapsed="1" x14ac:dyDescent="0.15">
      <c r="B130" s="616"/>
      <c r="C130" s="672"/>
      <c r="E130" s="672"/>
      <c r="F130" s="672"/>
      <c r="G130" s="618" t="s">
        <v>23</v>
      </c>
      <c r="H130" s="617"/>
      <c r="I130" s="618">
        <f>IF(ISNUMBER(SEARCH("UV",D133)),49.7,71.75)</f>
        <v>71.75</v>
      </c>
      <c r="J130" s="619"/>
      <c r="K130" s="673"/>
      <c r="L130" s="674"/>
      <c r="M130" s="673"/>
      <c r="N130" s="673"/>
      <c r="S130" s="596"/>
      <c r="Y130" s="575"/>
    </row>
    <row r="131" spans="1:26" s="576" customFormat="1" ht="15" customHeight="1" x14ac:dyDescent="0.15">
      <c r="A131" s="568"/>
      <c r="B131" s="176" t="s">
        <v>86</v>
      </c>
      <c r="C131" s="622">
        <f>IF(H131&lt;1,0,(((VLOOKUP(G131,CC!$D$2:$F$670,3,FALSE))*H131)+IF(ISNUMBER(SEARCH("CMW",D133)),VLOOKUP(C144,CCBASE!$A$81:$C$85,3,FALSE),0)+(VLOOKUP(C136,CCBASE!$A$53:$C$73,3,FALSE)*D136)+(VLOOKUP(C137,CCBASE!$A$53:$C$73,3,FALSE)*D137))&amp;" HRS")</f>
        <v>0</v>
      </c>
      <c r="D131" s="623" t="str">
        <f>D133</f>
        <v>CANOPY TYPE</v>
      </c>
      <c r="E131" s="604">
        <f>CEILING(IF(C133="WALL",E133, (E133/2)),250)</f>
        <v>0</v>
      </c>
      <c r="F131" s="604">
        <f>IF(H131&lt;1,0,CEILING((F133-100)/H133,250))</f>
        <v>0</v>
      </c>
      <c r="G131" s="623" t="str">
        <f>D131&amp;F131&amp;E131</f>
        <v>CANOPY TYPE00</v>
      </c>
      <c r="H131" s="622">
        <f>IF(E133=0,0,IF(F133=0,0,(E133/(IF(C133="WALL",E133,(E133/2)))*H133)))</f>
        <v>0</v>
      </c>
      <c r="I131" s="622" t="str">
        <f>I133&amp;" m³/s"</f>
        <v xml:space="preserve"> m³/s</v>
      </c>
      <c r="J131" s="624"/>
      <c r="K131" s="625">
        <f>SUBTOTAL(9,K133:K146)</f>
        <v>0</v>
      </c>
      <c r="L131" s="606" t="str">
        <f>IF(K131=0,"-",O131/M131)</f>
        <v>-</v>
      </c>
      <c r="M131" s="625">
        <f>SUBTOTAL(9,M133:M146)</f>
        <v>0</v>
      </c>
      <c r="N131" s="607">
        <f>SUBTOTAL(9,N133:N146)</f>
        <v>0</v>
      </c>
      <c r="O131" s="625">
        <f>SUBTOTAL(9,O133:O146)</f>
        <v>0</v>
      </c>
      <c r="P131" s="575"/>
      <c r="Q131" s="575"/>
      <c r="R131" s="575"/>
      <c r="S131" s="615"/>
      <c r="T131" s="575"/>
      <c r="X131" s="575"/>
      <c r="Y131" s="575"/>
      <c r="Z131" s="575"/>
    </row>
    <row r="132" spans="1:26" ht="15" hidden="1" customHeight="1" outlineLevel="1" x14ac:dyDescent="0.15">
      <c r="B132" s="626"/>
      <c r="C132" s="627" t="s">
        <v>54</v>
      </c>
      <c r="D132" s="628" t="s">
        <v>55</v>
      </c>
      <c r="E132" s="627" t="s">
        <v>56</v>
      </c>
      <c r="F132" s="627" t="s">
        <v>57</v>
      </c>
      <c r="G132" s="627" t="s">
        <v>58</v>
      </c>
      <c r="H132" s="627" t="s">
        <v>59</v>
      </c>
      <c r="I132" s="628" t="s">
        <v>60</v>
      </c>
      <c r="J132" s="629"/>
      <c r="K132" s="630"/>
      <c r="L132" s="630"/>
      <c r="M132" s="631"/>
      <c r="N132" s="632"/>
      <c r="O132" s="614"/>
      <c r="S132" s="596"/>
      <c r="Y132" s="575"/>
    </row>
    <row r="133" spans="1:26" ht="15" hidden="1" customHeight="1" outlineLevel="1" x14ac:dyDescent="0.2">
      <c r="A133" s="568">
        <v>210</v>
      </c>
      <c r="B133" s="633" t="s">
        <v>61</v>
      </c>
      <c r="C133" s="634" t="s">
        <v>62</v>
      </c>
      <c r="D133" s="737" t="s">
        <v>87</v>
      </c>
      <c r="E133" s="636"/>
      <c r="F133" s="636"/>
      <c r="G133" s="636"/>
      <c r="H133" s="637"/>
      <c r="I133" s="636"/>
      <c r="J133" s="638">
        <f>IF(ISNA(C131),0,IF(F131&gt;3000,0,(IF(H131&lt;1,0,((VLOOKUP(G131,CC!$D$2:$E$670,2,FALSE))*H131)+((VLOOKUP(G131,CC!$D$2:$AD$670,17,FALSE)*(H131/H133)))))))</f>
        <v>0</v>
      </c>
      <c r="K133" s="639">
        <f>J133*1</f>
        <v>0</v>
      </c>
      <c r="L133" s="640">
        <v>0.44</v>
      </c>
      <c r="M133" s="641">
        <f t="shared" ref="M133:M146" si="14">K133/(1-L133)*(1+$C$9)</f>
        <v>0</v>
      </c>
      <c r="N133" s="639">
        <f>M133*VLOOKUP($B$9,'Base Costs'!$A$32:$B$37,2,FALSE)</f>
        <v>0</v>
      </c>
      <c r="O133" s="642">
        <f t="shared" ref="O133:O146" si="15">M133-K133</f>
        <v>0</v>
      </c>
      <c r="S133" s="596"/>
      <c r="Y133" s="575"/>
    </row>
    <row r="134" spans="1:26" ht="15" hidden="1" customHeight="1" outlineLevel="1" x14ac:dyDescent="0.15">
      <c r="A134" s="568">
        <v>104</v>
      </c>
      <c r="B134" s="633" t="s">
        <v>64</v>
      </c>
      <c r="C134" s="635" t="s">
        <v>65</v>
      </c>
      <c r="D134" s="643"/>
      <c r="E134" s="644"/>
      <c r="F134" s="645"/>
      <c r="G134" s="646"/>
      <c r="H134" s="570"/>
      <c r="I134" s="570"/>
      <c r="J134" s="638">
        <f>IF(ISNA(C131),0,IF(D134=0,0,IF(C134="FLO",VLOOKUP(E134,'Base Costs'!$M$4:$N$14,2,FALSE),IF(C134="LED STRIP",VLOOKUP(E134,'Base Costs'!$M$4:$N$14,2,FALSE),(VLOOKUP(C134,'Base Costs'!$M$4:$N$14,2,FALSE))))))</f>
        <v>0</v>
      </c>
      <c r="K134" s="639">
        <f>J134*D134</f>
        <v>0</v>
      </c>
      <c r="L134" s="640">
        <v>0.31</v>
      </c>
      <c r="M134" s="641">
        <f t="shared" si="14"/>
        <v>0</v>
      </c>
      <c r="N134" s="639">
        <f>M134*VLOOKUP($B$9,'Base Costs'!$A$32:$B$37,2,FALSE)</f>
        <v>0</v>
      </c>
      <c r="O134" s="642">
        <f t="shared" si="15"/>
        <v>0</v>
      </c>
      <c r="P134" s="647"/>
      <c r="S134" s="596"/>
      <c r="Y134" s="575"/>
    </row>
    <row r="135" spans="1:26" ht="15" hidden="1" customHeight="1" outlineLevel="1" x14ac:dyDescent="0.15">
      <c r="A135" s="568">
        <v>234</v>
      </c>
      <c r="B135" s="204" t="s">
        <v>330</v>
      </c>
      <c r="C135" s="834" t="s">
        <v>331</v>
      </c>
      <c r="D135" s="648"/>
      <c r="E135" s="649"/>
      <c r="F135" s="650"/>
      <c r="G135" s="651"/>
      <c r="H135" s="652"/>
      <c r="I135" s="653">
        <v>1</v>
      </c>
      <c r="J135" s="638">
        <f>VLOOKUP(C135,'Base Costs'!$U$4:$V$41,2,FALSE)</f>
        <v>0</v>
      </c>
      <c r="K135" s="639">
        <f>J135*1</f>
        <v>0</v>
      </c>
      <c r="L135" s="640">
        <v>0.25</v>
      </c>
      <c r="M135" s="641">
        <f t="shared" si="14"/>
        <v>0</v>
      </c>
      <c r="N135" s="639">
        <f>M135*VLOOKUP($B$9,'Base Costs'!$A$32:$B$37,2,FALSE)</f>
        <v>0</v>
      </c>
      <c r="O135" s="642">
        <f t="shared" si="15"/>
        <v>0</v>
      </c>
      <c r="S135" s="596"/>
      <c r="Y135" s="575"/>
    </row>
    <row r="136" spans="1:26" ht="15" hidden="1" customHeight="1" outlineLevel="1" x14ac:dyDescent="0.15">
      <c r="B136" s="204" t="s">
        <v>332</v>
      </c>
      <c r="C136" s="834" t="s">
        <v>332</v>
      </c>
      <c r="D136" s="844">
        <v>1</v>
      </c>
      <c r="E136" s="655"/>
      <c r="F136" s="656"/>
      <c r="G136" s="651"/>
      <c r="H136" s="652"/>
      <c r="I136" s="657"/>
      <c r="J136" s="638">
        <f>VLOOKUP(C136,'Base Costs'!$U$44:$V$56,2,FALSE)</f>
        <v>0</v>
      </c>
      <c r="K136" s="639">
        <f>J136*D136</f>
        <v>0</v>
      </c>
      <c r="L136" s="640">
        <v>0.35</v>
      </c>
      <c r="M136" s="641">
        <f t="shared" si="14"/>
        <v>0</v>
      </c>
      <c r="N136" s="639">
        <f>M136*VLOOKUP($B$9,'Base Costs'!$A$32:$B$37,2,FALSE)</f>
        <v>0</v>
      </c>
      <c r="O136" s="642">
        <f t="shared" si="15"/>
        <v>0</v>
      </c>
      <c r="S136" s="596"/>
      <c r="Y136" s="575"/>
    </row>
    <row r="137" spans="1:26" ht="15" hidden="1" customHeight="1" outlineLevel="1" x14ac:dyDescent="0.15">
      <c r="B137" s="204" t="s">
        <v>66</v>
      </c>
      <c r="C137" s="654" t="s">
        <v>67</v>
      </c>
      <c r="D137" s="637"/>
      <c r="E137" s="655" t="str">
        <f>IF(C137="","",VLOOKUP(C137,CCBASE!$A$53:$D$73,4,FALSE))</f>
        <v/>
      </c>
      <c r="F137" s="656"/>
      <c r="G137" s="651"/>
      <c r="H137" s="652"/>
      <c r="I137" s="657"/>
      <c r="J137" s="638">
        <f>IF(C137="",0,VLOOKUP(C137,CCBASE!$A$53:$C$73,2,FALSE))</f>
        <v>0</v>
      </c>
      <c r="K137" s="639">
        <f>J137*D137</f>
        <v>0</v>
      </c>
      <c r="L137" s="640">
        <v>0.44</v>
      </c>
      <c r="M137" s="641">
        <f t="shared" si="14"/>
        <v>0</v>
      </c>
      <c r="N137" s="639">
        <f>M137*VLOOKUP($B$9,'Base Costs'!$A$32:$B$37,2,FALSE)</f>
        <v>0</v>
      </c>
      <c r="O137" s="642">
        <f t="shared" si="15"/>
        <v>0</v>
      </c>
      <c r="S137" s="596"/>
      <c r="Y137" s="575"/>
    </row>
    <row r="138" spans="1:26" ht="15" hidden="1" customHeight="1" outlineLevel="1" x14ac:dyDescent="0.15">
      <c r="A138" s="568">
        <v>289</v>
      </c>
      <c r="B138" s="633" t="s">
        <v>71</v>
      </c>
      <c r="C138" s="654" t="s">
        <v>72</v>
      </c>
      <c r="D138" s="658">
        <f>ROUNDUP($F133/1000,0)</f>
        <v>0</v>
      </c>
      <c r="E138" s="950" t="s">
        <v>73</v>
      </c>
      <c r="F138" s="941"/>
      <c r="G138" s="656"/>
      <c r="H138" s="652"/>
      <c r="I138" s="657"/>
      <c r="J138" s="638">
        <f>IF(D138=0,0,VLOOKUP(C138,'Base Costs'!$A$19:$B$22,2,FALSE))</f>
        <v>0</v>
      </c>
      <c r="K138" s="639">
        <f>J138*D138</f>
        <v>0</v>
      </c>
      <c r="L138" s="640">
        <v>0.44</v>
      </c>
      <c r="M138" s="641">
        <f t="shared" si="14"/>
        <v>0</v>
      </c>
      <c r="N138" s="639">
        <f>M138*VLOOKUP($B$9,'Base Costs'!$A$32:$B$37,2,FALSE)</f>
        <v>0</v>
      </c>
      <c r="O138" s="642">
        <f t="shared" si="15"/>
        <v>0</v>
      </c>
      <c r="S138" s="596"/>
      <c r="Y138" s="575"/>
    </row>
    <row r="139" spans="1:26" ht="15" hidden="1" customHeight="1" outlineLevel="1" x14ac:dyDescent="0.15">
      <c r="A139" s="568">
        <v>242</v>
      </c>
      <c r="B139" s="633" t="s">
        <v>77</v>
      </c>
      <c r="C139" s="654"/>
      <c r="D139" s="644" t="s">
        <v>78</v>
      </c>
      <c r="E139" s="651" t="s">
        <v>79</v>
      </c>
      <c r="F139" s="650"/>
      <c r="G139" s="651"/>
      <c r="H139" s="652"/>
      <c r="I139" s="657"/>
      <c r="J139" s="638">
        <f>IF(C139=0,0,'Base Costs'!$B$26)</f>
        <v>0</v>
      </c>
      <c r="K139" s="639">
        <f>J139*C139</f>
        <v>0</v>
      </c>
      <c r="L139" s="640">
        <v>0.44</v>
      </c>
      <c r="M139" s="641">
        <f t="shared" si="14"/>
        <v>0</v>
      </c>
      <c r="N139" s="639">
        <f>M139*VLOOKUP($B$9,'Base Costs'!$A$32:$B$37,2,FALSE)</f>
        <v>0</v>
      </c>
      <c r="O139" s="642">
        <f t="shared" si="15"/>
        <v>0</v>
      </c>
      <c r="S139" s="596"/>
      <c r="Y139" s="575"/>
    </row>
    <row r="140" spans="1:26" ht="15" hidden="1" customHeight="1" outlineLevel="1" x14ac:dyDescent="0.15">
      <c r="A140" s="568">
        <v>220</v>
      </c>
      <c r="B140" s="633" t="s">
        <v>80</v>
      </c>
      <c r="C140" s="654"/>
      <c r="D140" s="644" t="s">
        <v>81</v>
      </c>
      <c r="E140" s="650"/>
      <c r="F140" s="650"/>
      <c r="G140" s="659" t="str">
        <f>IF(ISNUMBER(SEARCH("KSA",$D141)),"MAX. EXTRACT (m³/s)", "")</f>
        <v/>
      </c>
      <c r="H140" s="942" t="str">
        <f>IF(ISNUMBER(SEARCH("MUAP",$D133)),"MAX.  SUPPLY (m³/s)",IF(ISNUMBER(SEARCH("SPECIAL",$D133)),"MAX.  SUPPLY (m³/s)",(IF(ISNUMBER(SEARCH("F",$D133)),"MAX.  SUPPLY (m³/s)",""))))</f>
        <v/>
      </c>
      <c r="I140" s="943"/>
      <c r="J140" s="638">
        <f>IF(C140=0,0,'Base Costs'!$B$29)</f>
        <v>0</v>
      </c>
      <c r="K140" s="639">
        <f>J140*C140</f>
        <v>0</v>
      </c>
      <c r="L140" s="640">
        <v>0.44</v>
      </c>
      <c r="M140" s="641">
        <f t="shared" si="14"/>
        <v>0</v>
      </c>
      <c r="N140" s="639">
        <f>M140*VLOOKUP($B$9,'Base Costs'!$A$32:$B$37,2,FALSE)</f>
        <v>0</v>
      </c>
      <c r="O140" s="642">
        <f t="shared" si="15"/>
        <v>0</v>
      </c>
      <c r="S140" s="596"/>
      <c r="Y140" s="575"/>
    </row>
    <row r="141" spans="1:26" ht="15" hidden="1" customHeight="1" outlineLevel="1" x14ac:dyDescent="0.15">
      <c r="A141" s="568">
        <v>103</v>
      </c>
      <c r="B141" s="633" t="s">
        <v>82</v>
      </c>
      <c r="C141" s="643">
        <f>IF(ISNUMBER(SEARCH("CMW",D133)),1,IF(F131=0,0,(ROUNDDOWN(((((F133-(100+(50*H131))))/H133)/500),0)*H131)))</f>
        <v>0</v>
      </c>
      <c r="D141" s="644" t="str">
        <f>VLOOKUP(D133,'Base Costs'!$A$39:$B$58,2,FALSE)</f>
        <v>FILTER TYPE</v>
      </c>
      <c r="E141" s="660" t="str">
        <f>IF(C141=0,0,IF(D141="KSA",ROUND(I133/C141,3),""))&amp; "  m³/s per filter"</f>
        <v>0  m³/s per filter</v>
      </c>
      <c r="F141" s="660" t="str">
        <f>IF(C141=0," Pa",ROUND((((I133*3600)/(C141*I130))^2),1)+20&amp; " Pa")</f>
        <v xml:space="preserve"> Pa</v>
      </c>
      <c r="G141" s="661" t="str">
        <f>IF(ISNUMBER(SEARCH("KSA",$D141)),$C141*0.25, "")</f>
        <v/>
      </c>
      <c r="H141" s="949" t="str">
        <f>IF(ISNUMBER(SEARCH("MUAP",$D133)),0.225*($F133/1000),IF(ISNUMBER(SEARCH("SPECIAL",$D133)),0.225*($F133/1000),(IF(ISNUMBER(SEARCH("F",$D133)),0.225*($F133/1000),""))))</f>
        <v/>
      </c>
      <c r="I141" s="943"/>
      <c r="J141" s="638">
        <f>IF(ISNA(D141),0,(VLOOKUP(D141,'Base Costs'!$Q$4:$R$11,2,FALSE)))</f>
        <v>0</v>
      </c>
      <c r="K141" s="639">
        <f>IF(ISNA(D141),0,IF(D141="MX",J141*1,J141*C141))</f>
        <v>0</v>
      </c>
      <c r="L141" s="640">
        <v>0.44</v>
      </c>
      <c r="M141" s="641">
        <f t="shared" si="14"/>
        <v>0</v>
      </c>
      <c r="N141" s="639">
        <f>M141*VLOOKUP($B$9,'Base Costs'!$A$32:$B$37,2,FALSE)</f>
        <v>0</v>
      </c>
      <c r="O141" s="642">
        <f t="shared" si="15"/>
        <v>0</v>
      </c>
      <c r="S141" s="596"/>
      <c r="Y141" s="575"/>
    </row>
    <row r="142" spans="1:26" ht="15" hidden="1" customHeight="1" outlineLevel="1" x14ac:dyDescent="0.15">
      <c r="B142" s="204" t="s">
        <v>83</v>
      </c>
      <c r="C142" s="643">
        <v>0</v>
      </c>
      <c r="D142" s="735" t="str">
        <f>VLOOKUP(D133,'Base Costs'!$A$39:$C$58,3,FALSE)</f>
        <v>PSU</v>
      </c>
      <c r="E142" s="660" t="str">
        <f>IF(C142=0,0,IF(D142="PSU",ROUND(I133/C142,3),""))&amp; " m³/s per filter"</f>
        <v>0 m³/s per filter</v>
      </c>
      <c r="F142" s="660" t="str">
        <f>IF(C142=0," Pa",ROUND((((I133*3600)/(C142*I130))^2),1)+20&amp; " Pa")</f>
        <v xml:space="preserve"> Pa</v>
      </c>
      <c r="G142" s="661" t="str">
        <f>IF(ISNUMBER(SEARCH("KSA",$D142)),$C142*0.25, "")</f>
        <v/>
      </c>
      <c r="H142" s="949" t="str">
        <f>IF(ISNUMBER(SEARCH("MUAP",$D133)),0.225*($F133/1000),IF(ISNUMBER(SEARCH("SPECIAL",$D133)),0.225*($F133/1000),(IF(ISNUMBER(SEARCH("F",$D133)),0.225*($F133/1000),""))))</f>
        <v/>
      </c>
      <c r="I142" s="943"/>
      <c r="J142" s="638"/>
      <c r="K142" s="639">
        <f>IF(ISNA(D142),0,IF(D142="MX",J142*1,J142*C142))</f>
        <v>0</v>
      </c>
      <c r="L142" s="640">
        <v>0.44</v>
      </c>
      <c r="M142" s="641">
        <f t="shared" si="14"/>
        <v>0</v>
      </c>
      <c r="N142" s="639">
        <f>M142*VLOOKUP($B$9,'Base Costs'!$A$32:$B$37,2,FALSE)</f>
        <v>0</v>
      </c>
      <c r="O142" s="642">
        <f t="shared" si="15"/>
        <v>0</v>
      </c>
      <c r="S142" s="596"/>
      <c r="Y142" s="575"/>
    </row>
    <row r="143" spans="1:26" ht="15" hidden="1" customHeight="1" outlineLevel="1" x14ac:dyDescent="0.15">
      <c r="A143" s="568">
        <v>107</v>
      </c>
      <c r="B143" s="662" t="str">
        <f>IF(ISNUMBER(SEARCH("UV",D133)),"UV-C COMPONENTS",IF(ISNUMBER(SEARCH("CMW",D133)),"WATERWASH COMPONENTS",""))</f>
        <v/>
      </c>
      <c r="C143" s="663" t="str">
        <f>IF(H131=0,"UVR",IF(I133=0,"UVR",IF(I143&gt;0,("UVR")&amp;(INDEX('Base Costs'!$AH$5:$AI$10,(MATCH((I133/H131),'Base Costs'!$AI$5:$AI$10,-1)),1))&amp;("-")&amp;(H131),"UVR")))</f>
        <v>UVR</v>
      </c>
      <c r="D143" s="671" t="str">
        <f>VLOOKUP(C143,'Base Costs'!$Z$4:$AF$77,7,FALSE)&amp;" m³/s"</f>
        <v xml:space="preserve"> m³/s</v>
      </c>
      <c r="E143" s="665" t="str">
        <f>IF(ISNUMBER(SEARCH("L",C143)),"LONG RACK IN SECTION","SHORTRACK")</f>
        <v>SHORTRACK</v>
      </c>
      <c r="F143" s="666" t="str">
        <f>IF(ISNUMBER(SEARCH("L",C143)),ROUND(F133/H133,1)&amp;" mm","")</f>
        <v/>
      </c>
      <c r="G143" s="656"/>
      <c r="H143" s="656"/>
      <c r="I143" s="653">
        <f>IF(ISNUMBER(SEARCH("UV",D133)),1, 0)</f>
        <v>0</v>
      </c>
      <c r="J143" s="638">
        <f>IF(ISNA(C143),0,VLOOKUP(C143,'Base Costs'!$Z$4:$AF$77,2,FALSE))</f>
        <v>0</v>
      </c>
      <c r="K143" s="639">
        <f>J143*1</f>
        <v>0</v>
      </c>
      <c r="L143" s="640">
        <v>0.44</v>
      </c>
      <c r="M143" s="641">
        <f t="shared" si="14"/>
        <v>0</v>
      </c>
      <c r="N143" s="639">
        <f>M143*VLOOKUP($B$9,'Base Costs'!$A$32:$B$37,2,FALSE)</f>
        <v>0</v>
      </c>
      <c r="O143" s="642">
        <f t="shared" si="15"/>
        <v>0</v>
      </c>
      <c r="S143" s="596"/>
      <c r="Y143" s="575"/>
    </row>
    <row r="144" spans="1:26" ht="15" hidden="1" customHeight="1" outlineLevel="1" x14ac:dyDescent="0.15">
      <c r="B144" s="633" t="str">
        <f>IF(ISNUMBER(SEARCH("UV",D133)),"UV-C 2ND FILTER",IF(ISNUMBER(SEARCH("CMW",D133)),"CONTROL PANEL",""))</f>
        <v/>
      </c>
      <c r="C144" s="660" t="s">
        <v>84</v>
      </c>
      <c r="D144" s="662" t="str">
        <f>IF(ISNUMBER(SEARCH("CP1S",$C144)),"Up to 12m of canopy","")</f>
        <v/>
      </c>
      <c r="E144" s="662" t="str">
        <f>IF(ISNUMBER(SEARCH("CMW",$D133)),"CWS REQUIREMENT @ 2Bar","")</f>
        <v/>
      </c>
      <c r="F144" s="667" t="str">
        <f>IF(ISNUMBER(SEARCH("CMW",$D133)),$F133/1000*0.02&amp;" L/S","")</f>
        <v/>
      </c>
      <c r="G144" s="656"/>
      <c r="H144" s="652"/>
      <c r="I144" s="653">
        <f>C141</f>
        <v>0</v>
      </c>
      <c r="J144" s="638">
        <f>IF(ISNUMBER(SEARCH("CMW",D133)),VLOOKUP(C144,CCBASE!$A$81:$B$85,2,FALSE),(IF(I143&gt;0,'Base Costs'!$R$7,0)))</f>
        <v>0</v>
      </c>
      <c r="K144" s="639">
        <f>J144*C141</f>
        <v>0</v>
      </c>
      <c r="L144" s="640">
        <v>0.44</v>
      </c>
      <c r="M144" s="641">
        <f t="shared" si="14"/>
        <v>0</v>
      </c>
      <c r="N144" s="639">
        <f>M144*VLOOKUP($B$9,'Base Costs'!$A$32:$B$37,2,FALSE)</f>
        <v>0</v>
      </c>
      <c r="O144" s="642">
        <f t="shared" si="15"/>
        <v>0</v>
      </c>
      <c r="S144" s="596"/>
      <c r="Y144" s="575"/>
    </row>
    <row r="145" spans="1:26" ht="15" hidden="1" customHeight="1" outlineLevel="1" x14ac:dyDescent="0.15">
      <c r="A145" s="568">
        <v>285</v>
      </c>
      <c r="B145" s="633" t="str">
        <f>IF(ISNUMBER(SEARCH("UV",D133)),"UV-C WORKSHOP WIRING",IF(ISNUMBER(SEARCH("CMW",D133)),"W/W PODS",""))</f>
        <v/>
      </c>
      <c r="C145" s="660" t="s">
        <v>85</v>
      </c>
      <c r="D145" s="660">
        <v>0</v>
      </c>
      <c r="E145" s="662" t="str">
        <f>IF(ISNUMBER(SEARCH("CMW",$D133)),"HWS REQUIREMENT @ 60°C ","")</f>
        <v/>
      </c>
      <c r="F145" s="668" t="str">
        <f>IF(ISNUMBER(SEARCH("CMW",$D133)),$F133/1000*0.103&amp;" L/S","")</f>
        <v/>
      </c>
      <c r="G145" s="656"/>
      <c r="H145" s="652"/>
      <c r="I145" s="653">
        <f>IF(I143&gt;0,H131,0)</f>
        <v>0</v>
      </c>
      <c r="J145" s="638">
        <f>IF(ISNUMBER(SEARCH("CMW",D133)),VLOOKUP(C145,'Base Costs'!$Q$35:$R$45,2,FALSE),IF(I145=0,0,36*1.03))</f>
        <v>0</v>
      </c>
      <c r="K145" s="639">
        <f>IF(ISNUMBER(SEARCH("CMW",D133)),J145*D145,J145*H131)</f>
        <v>0</v>
      </c>
      <c r="L145" s="640">
        <v>0.44</v>
      </c>
      <c r="M145" s="641">
        <f t="shared" si="14"/>
        <v>0</v>
      </c>
      <c r="N145" s="639">
        <f>M145*VLOOKUP($B$9,'Base Costs'!$A$32:$B$37,2,FALSE)</f>
        <v>0</v>
      </c>
      <c r="O145" s="642">
        <f t="shared" si="15"/>
        <v>0</v>
      </c>
      <c r="S145" s="596"/>
      <c r="Y145" s="575"/>
    </row>
    <row r="146" spans="1:26" ht="15" hidden="1" customHeight="1" outlineLevel="1" x14ac:dyDescent="0.15">
      <c r="A146" s="568">
        <v>286</v>
      </c>
      <c r="B146" s="633" t="str">
        <f>IF(ISNUMBER(SEARCH("CMW",$D133)),"CWS/HWS PIPEWORK UP TO 5M",IF(ISNUMBER(SEARCH("UV",$D133)),"MU5 INTERFACE", ""))</f>
        <v/>
      </c>
      <c r="C146" s="660">
        <v>1</v>
      </c>
      <c r="D146" s="669"/>
      <c r="E146" s="662" t="str">
        <f>IF(ISNUMBER(SEARCH("CMW",$D133)),"HW STORAGE 3m wash","")</f>
        <v/>
      </c>
      <c r="F146" s="667" t="str">
        <f>IF(ISNUMBER(SEARCH("CMW",$D133)),($F133/1000)*0.103*180&amp;" L","")</f>
        <v/>
      </c>
      <c r="G146" s="651"/>
      <c r="H146" s="652"/>
      <c r="I146" s="653">
        <f>IF(I143=0,0,1)</f>
        <v>0</v>
      </c>
      <c r="J146" s="638">
        <f>IF(B146="CWS/HWS PIPEWORK UP TO 5M",CCBASE!$B$65,IF(I146=0,0,100*1.44))</f>
        <v>0</v>
      </c>
      <c r="K146" s="639">
        <f>J146*C146</f>
        <v>0</v>
      </c>
      <c r="L146" s="640">
        <v>0.44</v>
      </c>
      <c r="M146" s="641">
        <f t="shared" si="14"/>
        <v>0</v>
      </c>
      <c r="N146" s="639">
        <f>M146*VLOOKUP($B$9,'Base Costs'!$A$32:$B$37,2,FALSE)</f>
        <v>0</v>
      </c>
      <c r="O146" s="642">
        <f t="shared" si="15"/>
        <v>0</v>
      </c>
      <c r="S146" s="596"/>
      <c r="Y146" s="575"/>
    </row>
    <row r="147" spans="1:26" ht="15" customHeight="1" collapsed="1" x14ac:dyDescent="0.15">
      <c r="B147" s="616"/>
      <c r="C147" s="672"/>
      <c r="E147" s="672"/>
      <c r="F147" s="672"/>
      <c r="G147" s="618" t="s">
        <v>23</v>
      </c>
      <c r="H147" s="617"/>
      <c r="I147" s="618">
        <f>IF(ISNUMBER(SEARCH("UV",HD55)),49.7,71.75)</f>
        <v>71.75</v>
      </c>
      <c r="J147" s="619"/>
      <c r="K147" s="673"/>
      <c r="L147" s="674"/>
      <c r="M147" s="673"/>
      <c r="N147" s="673"/>
      <c r="S147" s="596"/>
      <c r="Y147" s="575"/>
    </row>
    <row r="148" spans="1:26" s="576" customFormat="1" ht="15" customHeight="1" x14ac:dyDescent="0.15">
      <c r="A148" s="568"/>
      <c r="B148" s="176" t="s">
        <v>86</v>
      </c>
      <c r="C148" s="622">
        <f>IF(H148&lt;1,0,(((VLOOKUP(G148,CC!$D$2:$F$670,3,FALSE))*H148)+IF(ISNUMBER(SEARCH("CMW",D150)),VLOOKUP(C161,CCBASE!$A$81:$C$85,3,FALSE),0)+(VLOOKUP(C153,CCBASE!$A$53:$C$73,3,FALSE)*D153)+(VLOOKUP(C154,CCBASE!$A$53:$C$73,3,FALSE)*D154))&amp;" HRS")</f>
        <v>0</v>
      </c>
      <c r="D148" s="623" t="str">
        <f>D150</f>
        <v>CANOPY TYPE</v>
      </c>
      <c r="E148" s="604">
        <f>CEILING(IF(C150="WALL",E150, (E150/2)),250)</f>
        <v>0</v>
      </c>
      <c r="F148" s="604">
        <f>IF(H148&lt;1,0,CEILING((F150-100)/H150,250))</f>
        <v>0</v>
      </c>
      <c r="G148" s="623" t="str">
        <f>D148&amp;F148&amp;E148</f>
        <v>CANOPY TYPE00</v>
      </c>
      <c r="H148" s="622">
        <f>IF(E150=0,0,IF(F150=0,0,(E150/(IF(C150="WALL",E150,(E150/2)))*H150)))</f>
        <v>0</v>
      </c>
      <c r="I148" s="622" t="str">
        <f>I150&amp;" m³/s"</f>
        <v xml:space="preserve"> m³/s</v>
      </c>
      <c r="J148" s="624"/>
      <c r="K148" s="625">
        <f>SUBTOTAL(9,K150:K163)</f>
        <v>0</v>
      </c>
      <c r="L148" s="606" t="str">
        <f>IF(K148=0,"-",O148/M148)</f>
        <v>-</v>
      </c>
      <c r="M148" s="625">
        <f>SUBTOTAL(9,M150:M163)</f>
        <v>0</v>
      </c>
      <c r="N148" s="607">
        <f>SUBTOTAL(9,N150:N163)</f>
        <v>0</v>
      </c>
      <c r="O148" s="625">
        <f>SUBTOTAL(9,O150:O163)</f>
        <v>0</v>
      </c>
      <c r="P148" s="575"/>
      <c r="Q148" s="575"/>
      <c r="R148" s="575"/>
      <c r="S148" s="615"/>
      <c r="T148" s="575"/>
      <c r="X148" s="575"/>
      <c r="Y148" s="575"/>
      <c r="Z148" s="575"/>
    </row>
    <row r="149" spans="1:26" ht="15" hidden="1" customHeight="1" outlineLevel="1" x14ac:dyDescent="0.15">
      <c r="B149" s="626"/>
      <c r="C149" s="627" t="s">
        <v>54</v>
      </c>
      <c r="D149" s="628" t="s">
        <v>55</v>
      </c>
      <c r="E149" s="627" t="s">
        <v>56</v>
      </c>
      <c r="F149" s="627" t="s">
        <v>57</v>
      </c>
      <c r="G149" s="627" t="s">
        <v>58</v>
      </c>
      <c r="H149" s="627" t="s">
        <v>59</v>
      </c>
      <c r="I149" s="628" t="s">
        <v>60</v>
      </c>
      <c r="J149" s="629"/>
      <c r="K149" s="630"/>
      <c r="L149" s="630"/>
      <c r="M149" s="631"/>
      <c r="N149" s="632"/>
      <c r="O149" s="614"/>
      <c r="S149" s="596"/>
      <c r="Y149" s="575"/>
    </row>
    <row r="150" spans="1:26" ht="15" hidden="1" customHeight="1" outlineLevel="1" x14ac:dyDescent="0.2">
      <c r="A150" s="568">
        <v>210</v>
      </c>
      <c r="B150" s="633" t="s">
        <v>61</v>
      </c>
      <c r="C150" s="634" t="s">
        <v>62</v>
      </c>
      <c r="D150" s="635" t="s">
        <v>87</v>
      </c>
      <c r="E150" s="636"/>
      <c r="F150" s="636"/>
      <c r="G150" s="636"/>
      <c r="H150" s="637"/>
      <c r="I150" s="636"/>
      <c r="J150" s="638">
        <f>IF(ISNA(C148),0,IF(F148&gt;3000,0,(IF(H148&lt;1,0,((VLOOKUP(G148,CC!$D$2:$E$670,2,FALSE))*H148)+((VLOOKUP(G148,CC!$D$2:$AD$670,17,FALSE)*(H148/H150)))))))</f>
        <v>0</v>
      </c>
      <c r="K150" s="639">
        <f>J150*1</f>
        <v>0</v>
      </c>
      <c r="L150" s="640">
        <v>0.44</v>
      </c>
      <c r="M150" s="641">
        <f t="shared" ref="M150:M163" si="16">K150/(1-L150)*(1+$C$9)</f>
        <v>0</v>
      </c>
      <c r="N150" s="639">
        <f>M150*VLOOKUP($B$9,'Base Costs'!$A$32:$B$37,2,FALSE)</f>
        <v>0</v>
      </c>
      <c r="O150" s="642">
        <f t="shared" ref="O150:O163" si="17">M150-K150</f>
        <v>0</v>
      </c>
      <c r="S150" s="596"/>
      <c r="Y150" s="575"/>
    </row>
    <row r="151" spans="1:26" ht="15" hidden="1" customHeight="1" outlineLevel="1" x14ac:dyDescent="0.15">
      <c r="A151" s="568">
        <v>104</v>
      </c>
      <c r="B151" s="633" t="s">
        <v>64</v>
      </c>
      <c r="C151" s="635" t="s">
        <v>65</v>
      </c>
      <c r="D151" s="643"/>
      <c r="E151" s="644"/>
      <c r="F151" s="645"/>
      <c r="G151" s="646"/>
      <c r="H151" s="570"/>
      <c r="I151" s="570"/>
      <c r="J151" s="638">
        <f>IF(ISNA(C148),0,IF(D151=0,0,IF(C151="FLO",VLOOKUP(E151,'Base Costs'!$M$4:$N$14,2,FALSE),IF(C151="LED STRIP",VLOOKUP(E151,'Base Costs'!$M$4:$N$14,2,FALSE),(VLOOKUP(C151,'Base Costs'!$M$4:$N$14,2,FALSE))))))</f>
        <v>0</v>
      </c>
      <c r="K151" s="639">
        <f>J151*D151</f>
        <v>0</v>
      </c>
      <c r="L151" s="640">
        <v>0.31</v>
      </c>
      <c r="M151" s="641">
        <f t="shared" si="16"/>
        <v>0</v>
      </c>
      <c r="N151" s="639">
        <f>M151*VLOOKUP($B$9,'Base Costs'!$A$32:$B$37,2,FALSE)</f>
        <v>0</v>
      </c>
      <c r="O151" s="642">
        <f t="shared" si="17"/>
        <v>0</v>
      </c>
      <c r="P151" s="647"/>
      <c r="S151" s="596"/>
      <c r="Y151" s="575"/>
    </row>
    <row r="152" spans="1:26" ht="15" hidden="1" customHeight="1" outlineLevel="1" x14ac:dyDescent="0.15">
      <c r="A152" s="568">
        <v>234</v>
      </c>
      <c r="B152" s="204" t="s">
        <v>331</v>
      </c>
      <c r="C152" s="834" t="s">
        <v>331</v>
      </c>
      <c r="D152" s="648"/>
      <c r="E152" s="649"/>
      <c r="F152" s="650"/>
      <c r="G152" s="651"/>
      <c r="H152" s="652"/>
      <c r="I152" s="653">
        <v>1</v>
      </c>
      <c r="J152" s="638">
        <f>VLOOKUP(C152,'Base Costs'!$U$4:$V$41,2,FALSE)</f>
        <v>0</v>
      </c>
      <c r="K152" s="639">
        <f>J152*1</f>
        <v>0</v>
      </c>
      <c r="L152" s="640">
        <v>0.25</v>
      </c>
      <c r="M152" s="641">
        <f t="shared" si="16"/>
        <v>0</v>
      </c>
      <c r="N152" s="639">
        <f>M152*VLOOKUP($B$9,'Base Costs'!$A$32:$B$37,2,FALSE)</f>
        <v>0</v>
      </c>
      <c r="O152" s="642">
        <f t="shared" si="17"/>
        <v>0</v>
      </c>
      <c r="S152" s="596"/>
      <c r="Y152" s="575"/>
    </row>
    <row r="153" spans="1:26" ht="15" hidden="1" customHeight="1" outlineLevel="1" x14ac:dyDescent="0.15">
      <c r="B153" s="204" t="s">
        <v>332</v>
      </c>
      <c r="C153" s="834" t="s">
        <v>332</v>
      </c>
      <c r="D153" s="844">
        <v>1</v>
      </c>
      <c r="E153" s="655"/>
      <c r="F153" s="656"/>
      <c r="G153" s="651"/>
      <c r="H153" s="652"/>
      <c r="I153" s="657"/>
      <c r="J153" s="638">
        <f>VLOOKUP(C153,'Base Costs'!$U$44:$V$56,2,FALSE)</f>
        <v>0</v>
      </c>
      <c r="K153" s="639">
        <f>J153*D153</f>
        <v>0</v>
      </c>
      <c r="L153" s="640">
        <v>0.35</v>
      </c>
      <c r="M153" s="641">
        <f t="shared" si="16"/>
        <v>0</v>
      </c>
      <c r="N153" s="639">
        <f>M153*VLOOKUP($B$9,'Base Costs'!$A$32:$B$37,2,FALSE)</f>
        <v>0</v>
      </c>
      <c r="O153" s="642">
        <f t="shared" si="17"/>
        <v>0</v>
      </c>
      <c r="S153" s="596"/>
      <c r="Y153" s="575"/>
    </row>
    <row r="154" spans="1:26" ht="15" hidden="1" customHeight="1" outlineLevel="1" x14ac:dyDescent="0.15">
      <c r="B154" s="487" t="s">
        <v>66</v>
      </c>
      <c r="C154" s="33" t="s">
        <v>67</v>
      </c>
      <c r="D154" s="637"/>
      <c r="E154" s="655" t="str">
        <f>IF(C154="","",VLOOKUP(C154,CCBASE!$A$53:$D$73,4,FALSE))</f>
        <v/>
      </c>
      <c r="F154" s="656"/>
      <c r="G154" s="651"/>
      <c r="H154" s="652"/>
      <c r="I154" s="657"/>
      <c r="J154" s="638">
        <f>IF(C154="",0,VLOOKUP(C154,CCBASE!$A$53:$C$73,2,FALSE))</f>
        <v>0</v>
      </c>
      <c r="K154" s="639">
        <f>J154*D154</f>
        <v>0</v>
      </c>
      <c r="L154" s="640">
        <v>0.44</v>
      </c>
      <c r="M154" s="641">
        <f t="shared" si="16"/>
        <v>0</v>
      </c>
      <c r="N154" s="639">
        <f>M154*VLOOKUP($B$9,'Base Costs'!$A$32:$B$37,2,FALSE)</f>
        <v>0</v>
      </c>
      <c r="O154" s="642">
        <f t="shared" si="17"/>
        <v>0</v>
      </c>
      <c r="S154" s="596"/>
      <c r="Y154" s="575"/>
    </row>
    <row r="155" spans="1:26" ht="15" hidden="1" customHeight="1" outlineLevel="1" x14ac:dyDescent="0.15">
      <c r="A155" s="568">
        <v>289</v>
      </c>
      <c r="B155" s="487" t="s">
        <v>71</v>
      </c>
      <c r="C155" s="33" t="s">
        <v>72</v>
      </c>
      <c r="D155" s="658">
        <f>ROUNDUP($F150/1000,0)</f>
        <v>0</v>
      </c>
      <c r="E155" s="950" t="s">
        <v>73</v>
      </c>
      <c r="F155" s="941"/>
      <c r="G155" s="656"/>
      <c r="H155" s="652"/>
      <c r="I155" s="657"/>
      <c r="J155" s="638">
        <f>IF(D155=0,0,VLOOKUP(C155,'Base Costs'!$A$19:$B$22,2,FALSE))</f>
        <v>0</v>
      </c>
      <c r="K155" s="639">
        <f>J155*D155</f>
        <v>0</v>
      </c>
      <c r="L155" s="640">
        <v>0.44</v>
      </c>
      <c r="M155" s="641">
        <f t="shared" si="16"/>
        <v>0</v>
      </c>
      <c r="N155" s="639">
        <f>M155*VLOOKUP($B$9,'Base Costs'!$A$32:$B$37,2,FALSE)</f>
        <v>0</v>
      </c>
      <c r="O155" s="642">
        <f t="shared" si="17"/>
        <v>0</v>
      </c>
      <c r="S155" s="596"/>
      <c r="Y155" s="575"/>
    </row>
    <row r="156" spans="1:26" ht="15" hidden="1" customHeight="1" outlineLevel="1" x14ac:dyDescent="0.15">
      <c r="A156" s="568">
        <v>242</v>
      </c>
      <c r="B156" s="487" t="s">
        <v>77</v>
      </c>
      <c r="C156" s="654"/>
      <c r="D156" s="644" t="s">
        <v>78</v>
      </c>
      <c r="E156" s="651"/>
      <c r="F156" s="650"/>
      <c r="G156" s="651"/>
      <c r="H156" s="652"/>
      <c r="I156" s="657"/>
      <c r="J156" s="638">
        <f>IF(C156=0,0,'Base Costs'!$B$26)</f>
        <v>0</v>
      </c>
      <c r="K156" s="639">
        <f>J156*C156</f>
        <v>0</v>
      </c>
      <c r="L156" s="640">
        <v>0.44</v>
      </c>
      <c r="M156" s="641">
        <f t="shared" si="16"/>
        <v>0</v>
      </c>
      <c r="N156" s="639">
        <f>M156*VLOOKUP($B$9,'Base Costs'!$A$32:$B$37,2,FALSE)</f>
        <v>0</v>
      </c>
      <c r="O156" s="642">
        <f t="shared" si="17"/>
        <v>0</v>
      </c>
      <c r="S156" s="596"/>
      <c r="Y156" s="575"/>
    </row>
    <row r="157" spans="1:26" ht="15" hidden="1" customHeight="1" outlineLevel="1" x14ac:dyDescent="0.15">
      <c r="A157" s="568">
        <v>220</v>
      </c>
      <c r="B157" s="633" t="s">
        <v>80</v>
      </c>
      <c r="C157" s="654"/>
      <c r="D157" s="644" t="s">
        <v>81</v>
      </c>
      <c r="E157" s="650"/>
      <c r="F157" s="650"/>
      <c r="G157" s="659" t="str">
        <f>IF(ISNUMBER(SEARCH("KSA",$D158)),"MAX. EXTRACT (m³/s)", "")</f>
        <v/>
      </c>
      <c r="H157" s="942" t="str">
        <f>IF(ISNUMBER(SEARCH("MUAP",$D150)),"MAX.  SUPPLY (m³/s)",IF(ISNUMBER(SEARCH("SPECIAL",$D150)),"MAX.  SUPPLY (m³/s)",(IF(ISNUMBER(SEARCH("F",$D150)),"MAX.  SUPPLY (m³/s)",""))))</f>
        <v/>
      </c>
      <c r="I157" s="943"/>
      <c r="J157" s="638">
        <f>IF(C157=0,0,'Base Costs'!$B$29)</f>
        <v>0</v>
      </c>
      <c r="K157" s="639">
        <f>J157*C157</f>
        <v>0</v>
      </c>
      <c r="L157" s="640">
        <v>0.44</v>
      </c>
      <c r="M157" s="641">
        <f t="shared" si="16"/>
        <v>0</v>
      </c>
      <c r="N157" s="639">
        <f>M157*VLOOKUP($B$9,'Base Costs'!$A$32:$B$37,2,FALSE)</f>
        <v>0</v>
      </c>
      <c r="O157" s="642">
        <f t="shared" si="17"/>
        <v>0</v>
      </c>
      <c r="S157" s="596"/>
      <c r="Y157" s="575"/>
    </row>
    <row r="158" spans="1:26" ht="15" hidden="1" customHeight="1" outlineLevel="1" x14ac:dyDescent="0.15">
      <c r="A158" s="568">
        <v>103</v>
      </c>
      <c r="B158" s="633" t="s">
        <v>82</v>
      </c>
      <c r="C158" s="643">
        <f>IF(ISNUMBER(SEARCH("CMW",D150)),1,IF(F148=0,0,(ROUNDDOWN(((((F150-(100+(50*H148))))/H150)/500),0)*H148)))</f>
        <v>0</v>
      </c>
      <c r="D158" s="644" t="str">
        <f>VLOOKUP(D150,'Base Costs'!$A$39:$B$58,2,FALSE)</f>
        <v>FILTER TYPE</v>
      </c>
      <c r="E158" s="660" t="str">
        <f>IF(C158=0,0,IF(D158="KSA",ROUND(I150/C158,3),""))&amp; "  m³/s per filter"</f>
        <v>0  m³/s per filter</v>
      </c>
      <c r="F158" s="660" t="str">
        <f>IF(C158=0," Pa",ROUND((((I150*3600)/(C158*I147))^2),1)+20&amp; " Pa")</f>
        <v xml:space="preserve"> Pa</v>
      </c>
      <c r="G158" s="661" t="str">
        <f>IF(ISNUMBER(SEARCH("KSA",$D158)),$C158*0.25, "")</f>
        <v/>
      </c>
      <c r="H158" s="949" t="str">
        <f>IF(ISNUMBER(SEARCH("MUAP",$D150)),0.225*($F150/1000),IF(ISNUMBER(SEARCH("SPECIAL",$D150)),0.225*($F150/1000),(IF(ISNUMBER(SEARCH("F",$D150)),0.225*($F150/1000),""))))</f>
        <v/>
      </c>
      <c r="I158" s="943"/>
      <c r="J158" s="638">
        <f>IF(ISNA(D158),0,(VLOOKUP(D158,'Base Costs'!$Q$4:$R$11,2,FALSE)))</f>
        <v>0</v>
      </c>
      <c r="K158" s="639">
        <f>IF(ISNA(D158),0,IF(D158="MX",J158*1,J158*C158))</f>
        <v>0</v>
      </c>
      <c r="L158" s="640">
        <v>0.44</v>
      </c>
      <c r="M158" s="641">
        <f t="shared" si="16"/>
        <v>0</v>
      </c>
      <c r="N158" s="639">
        <f>M158*VLOOKUP($B$9,'Base Costs'!$A$32:$B$37,2,FALSE)</f>
        <v>0</v>
      </c>
      <c r="O158" s="642">
        <f t="shared" si="17"/>
        <v>0</v>
      </c>
      <c r="S158" s="596"/>
      <c r="Y158" s="575"/>
    </row>
    <row r="159" spans="1:26" ht="15" hidden="1" customHeight="1" outlineLevel="1" x14ac:dyDescent="0.15">
      <c r="B159" s="204" t="s">
        <v>83</v>
      </c>
      <c r="C159" s="643">
        <v>0</v>
      </c>
      <c r="D159" s="735" t="str">
        <f>VLOOKUP(D150,'Base Costs'!$A$39:$C$58,3,FALSE)</f>
        <v>PSU</v>
      </c>
      <c r="E159" s="660" t="str">
        <f>IF(C159=0,0,IF(D159="PSU",ROUND(I150/C159,3),""))&amp; " m³/s per filter"</f>
        <v>0 m³/s per filter</v>
      </c>
      <c r="F159" s="660" t="str">
        <f>IF(C159=0," Pa",ROUND((((I150*3600)/(C159*I147))^2),1)+20&amp; " Pa")</f>
        <v xml:space="preserve"> Pa</v>
      </c>
      <c r="G159" s="661" t="str">
        <f>IF(ISNUMBER(SEARCH("KSA",$D159)),$C159*0.25, "")</f>
        <v/>
      </c>
      <c r="H159" s="949" t="str">
        <f>IF(ISNUMBER(SEARCH("MUAP",$D150)),0.225*($F150/1000),IF(ISNUMBER(SEARCH("SPECIAL",$D150)),0.225*($F150/1000),(IF(ISNUMBER(SEARCH("F",$D150)),0.225*($F150/1000),""))))</f>
        <v/>
      </c>
      <c r="I159" s="943"/>
      <c r="J159" s="638"/>
      <c r="K159" s="639">
        <f>IF(ISNA(D159),0,IF(D159="MX",J159*1,J159*C159))</f>
        <v>0</v>
      </c>
      <c r="L159" s="640">
        <v>0.44</v>
      </c>
      <c r="M159" s="641">
        <f t="shared" si="16"/>
        <v>0</v>
      </c>
      <c r="N159" s="639">
        <f>M159*VLOOKUP($B$9,'Base Costs'!$A$32:$B$37,2,FALSE)</f>
        <v>0</v>
      </c>
      <c r="O159" s="642">
        <f t="shared" si="17"/>
        <v>0</v>
      </c>
      <c r="S159" s="596"/>
      <c r="Y159" s="575"/>
    </row>
    <row r="160" spans="1:26" ht="15" hidden="1" customHeight="1" outlineLevel="1" x14ac:dyDescent="0.15">
      <c r="A160" s="568">
        <v>107</v>
      </c>
      <c r="B160" s="662" t="str">
        <f>IF(ISNUMBER(SEARCH("UV",D150)),"UV-C COMPONENTS",IF(ISNUMBER(SEARCH("CMW",D150)),"WATERWASH COMPONENTS",""))</f>
        <v/>
      </c>
      <c r="C160" s="663" t="str">
        <f>IF(H148=0,"UVR",IF(I150=0,"UVR",IF(I160&gt;0,("UVR")&amp;(INDEX('Base Costs'!$AH$5:$AI$10,(MATCH((I150/H148),'Base Costs'!$AI$5:$AI$10,-1)),1))&amp;("-")&amp;(H148),"UVR")))</f>
        <v>UVR</v>
      </c>
      <c r="D160" s="671" t="str">
        <f>VLOOKUP(C160,'Base Costs'!$Z$4:$AF$77,7,FALSE)&amp;" m³/s"</f>
        <v xml:space="preserve"> m³/s</v>
      </c>
      <c r="E160" s="665" t="str">
        <f>IF(ISNUMBER(SEARCH("L",C160)),"LONG RACK IN SECTION","SHORTRACK")</f>
        <v>SHORTRACK</v>
      </c>
      <c r="F160" s="666" t="str">
        <f>IF(ISNUMBER(SEARCH("L",C160)),ROUND(F150/H150,1)&amp;" mm","")</f>
        <v/>
      </c>
      <c r="G160" s="656"/>
      <c r="H160" s="656"/>
      <c r="I160" s="653">
        <f>IF(ISNUMBER(SEARCH("UV",D150)),1, 0)</f>
        <v>0</v>
      </c>
      <c r="J160" s="638">
        <f>IF(ISNA(C160),0,VLOOKUP(C160,'Base Costs'!$Z$4:$AF$77,2,FALSE))</f>
        <v>0</v>
      </c>
      <c r="K160" s="639">
        <f>J160*1</f>
        <v>0</v>
      </c>
      <c r="L160" s="640">
        <v>0.44</v>
      </c>
      <c r="M160" s="641">
        <f t="shared" si="16"/>
        <v>0</v>
      </c>
      <c r="N160" s="639">
        <f>M160*VLOOKUP($B$9,'Base Costs'!$A$32:$B$37,2,FALSE)</f>
        <v>0</v>
      </c>
      <c r="O160" s="642">
        <f t="shared" si="17"/>
        <v>0</v>
      </c>
      <c r="S160" s="596"/>
      <c r="Y160" s="575"/>
    </row>
    <row r="161" spans="1:26" ht="15" hidden="1" customHeight="1" outlineLevel="1" x14ac:dyDescent="0.15">
      <c r="B161" s="633" t="str">
        <f>IF(ISNUMBER(SEARCH("UV",D150)),"UV-C 2ND FILTER",IF(ISNUMBER(SEARCH("CMW",D150)),"CONTROL PANEL",""))</f>
        <v/>
      </c>
      <c r="C161" s="660" t="s">
        <v>84</v>
      </c>
      <c r="D161" s="662" t="str">
        <f>IF(ISNUMBER(SEARCH("CP1S",$C161)),"Up to 12m of canopy","")</f>
        <v/>
      </c>
      <c r="E161" s="662" t="str">
        <f>IF(ISNUMBER(SEARCH("CMW",$D150)),"CWS REQUIREMENT @ 2Bar","")</f>
        <v/>
      </c>
      <c r="F161" s="667" t="str">
        <f>IF(ISNUMBER(SEARCH("CMW",$D150)),$F150/1000*0.02&amp;" L/S","")</f>
        <v/>
      </c>
      <c r="G161" s="656"/>
      <c r="H161" s="652"/>
      <c r="I161" s="653">
        <f>C158</f>
        <v>0</v>
      </c>
      <c r="J161" s="638">
        <f>IF(ISNUMBER(SEARCH("CMW",D150)),VLOOKUP(C161,CCBASE!$A$81:$B$85,2,FALSE),(IF(I160&gt;0,'Base Costs'!$R$7,0)))</f>
        <v>0</v>
      </c>
      <c r="K161" s="639">
        <f>J161*C158</f>
        <v>0</v>
      </c>
      <c r="L161" s="640">
        <v>0.44</v>
      </c>
      <c r="M161" s="641">
        <f t="shared" si="16"/>
        <v>0</v>
      </c>
      <c r="N161" s="639">
        <f>M161*VLOOKUP($B$9,'Base Costs'!$A$32:$B$37,2,FALSE)</f>
        <v>0</v>
      </c>
      <c r="O161" s="642">
        <f t="shared" si="17"/>
        <v>0</v>
      </c>
      <c r="S161" s="596"/>
      <c r="Y161" s="575"/>
    </row>
    <row r="162" spans="1:26" ht="15" hidden="1" customHeight="1" outlineLevel="1" x14ac:dyDescent="0.15">
      <c r="A162" s="568">
        <v>285</v>
      </c>
      <c r="B162" s="633" t="str">
        <f>IF(ISNUMBER(SEARCH("UV",D150)),"UV-C WORKSHOP WIRING",IF(ISNUMBER(SEARCH("CMW",D150)),"W/W PODS",""))</f>
        <v/>
      </c>
      <c r="C162" s="660" t="s">
        <v>85</v>
      </c>
      <c r="D162" s="660">
        <v>0</v>
      </c>
      <c r="E162" s="662" t="str">
        <f>IF(ISNUMBER(SEARCH("CMW",$D150)),"HWS REQUIREMENT @ 60°C ","")</f>
        <v/>
      </c>
      <c r="F162" s="668" t="str">
        <f>IF(ISNUMBER(SEARCH("CMW",$D150)),$F150/1000*0.103&amp;" L/S","")</f>
        <v/>
      </c>
      <c r="G162" s="656"/>
      <c r="H162" s="652"/>
      <c r="I162" s="653">
        <f>IF(I160&gt;0,H148,0)</f>
        <v>0</v>
      </c>
      <c r="J162" s="638">
        <f>IF(ISNUMBER(SEARCH("CMW",D150)),VLOOKUP(C162,'Base Costs'!$Q$35:$R$45,2,FALSE),IF(I162=0,0,36*1.03))</f>
        <v>0</v>
      </c>
      <c r="K162" s="639">
        <f>IF(ISNUMBER(SEARCH("CMW",D150)),J162*D162,J162*H148)</f>
        <v>0</v>
      </c>
      <c r="L162" s="640">
        <v>0.44</v>
      </c>
      <c r="M162" s="641">
        <f t="shared" si="16"/>
        <v>0</v>
      </c>
      <c r="N162" s="639">
        <f>M162*VLOOKUP($B$9,'Base Costs'!$A$32:$B$37,2,FALSE)</f>
        <v>0</v>
      </c>
      <c r="O162" s="642">
        <f t="shared" si="17"/>
        <v>0</v>
      </c>
      <c r="S162" s="596"/>
      <c r="Y162" s="575"/>
    </row>
    <row r="163" spans="1:26" ht="15" hidden="1" customHeight="1" outlineLevel="1" x14ac:dyDescent="0.15">
      <c r="A163" s="568">
        <v>286</v>
      </c>
      <c r="B163" s="633" t="str">
        <f>IF(ISNUMBER(SEARCH("CMW",$D150)),"CWS/HWS PIPEWORK UP TO 5M",IF(ISNUMBER(SEARCH("UV",$D150)),"MU5 INTERFACE", ""))</f>
        <v/>
      </c>
      <c r="C163" s="660">
        <v>1</v>
      </c>
      <c r="D163" s="669"/>
      <c r="E163" s="662" t="str">
        <f>IF(ISNUMBER(SEARCH("CMW",$D150)),"HW STORAGE 3m wash","")</f>
        <v/>
      </c>
      <c r="F163" s="667" t="str">
        <f>IF(ISNUMBER(SEARCH("CMW",$D150)),($F150/1000)*0.103*180&amp;" L","")</f>
        <v/>
      </c>
      <c r="G163" s="651"/>
      <c r="H163" s="652"/>
      <c r="I163" s="653">
        <f>IF(I160=0,0,1)</f>
        <v>0</v>
      </c>
      <c r="J163" s="638">
        <f>IF(B163="CWS/HWS PIPEWORK UP TO 5M",CCBASE!$B$65,IF(I163=0,0,100*1.44))</f>
        <v>0</v>
      </c>
      <c r="K163" s="639">
        <f>J163*C163</f>
        <v>0</v>
      </c>
      <c r="L163" s="640">
        <v>0.44</v>
      </c>
      <c r="M163" s="641">
        <f t="shared" si="16"/>
        <v>0</v>
      </c>
      <c r="N163" s="639">
        <f>M163*VLOOKUP($B$9,'Base Costs'!$A$32:$B$37,2,FALSE)</f>
        <v>0</v>
      </c>
      <c r="O163" s="642">
        <f t="shared" si="17"/>
        <v>0</v>
      </c>
      <c r="S163" s="596"/>
      <c r="Y163" s="575"/>
    </row>
    <row r="164" spans="1:26" ht="15" customHeight="1" collapsed="1" x14ac:dyDescent="0.15">
      <c r="B164" s="616"/>
      <c r="C164" s="672"/>
      <c r="E164" s="672"/>
      <c r="F164" s="672"/>
      <c r="G164" s="618" t="s">
        <v>23</v>
      </c>
      <c r="H164" s="617"/>
      <c r="I164" s="618">
        <f>IF(ISNUMBER(SEARCH("UV",HD72)),49.7,71.75)</f>
        <v>71.75</v>
      </c>
      <c r="J164" s="619"/>
      <c r="K164" s="673"/>
      <c r="L164" s="674"/>
      <c r="M164" s="673"/>
      <c r="N164" s="673"/>
      <c r="S164" s="596"/>
      <c r="Y164" s="575"/>
    </row>
    <row r="165" spans="1:26" s="576" customFormat="1" ht="15" customHeight="1" x14ac:dyDescent="0.15">
      <c r="A165" s="568"/>
      <c r="B165" s="176" t="s">
        <v>86</v>
      </c>
      <c r="C165" s="622">
        <f>IF(H165&lt;1,0,(((VLOOKUP(G165,CC!$D$2:$F$670,3,FALSE))*H165)+IF(ISNUMBER(SEARCH("CMW",D167)),VLOOKUP(C178,CCBASE!$A$81:$C$85,3,FALSE),0)+(VLOOKUP(C170,CCBASE!$A$53:$C$73,3,FALSE)*D170)+(VLOOKUP(C171,CCBASE!$A$53:$C$73,3,FALSE)*D171))&amp;" HRS")</f>
        <v>0</v>
      </c>
      <c r="D165" s="623" t="str">
        <f>D167</f>
        <v>CANOPY TYPE</v>
      </c>
      <c r="E165" s="604">
        <f>CEILING(IF(C167="WALL",E167, (E167/2)),250)</f>
        <v>0</v>
      </c>
      <c r="F165" s="604">
        <f>IF(H165&lt;1,0,CEILING((F167-100)/H167,250))</f>
        <v>0</v>
      </c>
      <c r="G165" s="623" t="str">
        <f>D165&amp;F165&amp;E165</f>
        <v>CANOPY TYPE00</v>
      </c>
      <c r="H165" s="622">
        <f>IF(E167=0,0,IF(F167=0,0,(E167/(IF(C167="WALL",E167,(E167/2)))*H167)))</f>
        <v>0</v>
      </c>
      <c r="I165" s="622" t="str">
        <f>I167&amp;" m³/s"</f>
        <v xml:space="preserve"> m³/s</v>
      </c>
      <c r="J165" s="624"/>
      <c r="K165" s="625">
        <f>SUBTOTAL(9,K167:K180)</f>
        <v>0</v>
      </c>
      <c r="L165" s="606" t="str">
        <f>IF(K165=0,"-",O165/M165)</f>
        <v>-</v>
      </c>
      <c r="M165" s="625">
        <f>SUBTOTAL(9,M167:M180)</f>
        <v>0</v>
      </c>
      <c r="N165" s="607">
        <f>SUBTOTAL(9,N167:N180)</f>
        <v>0</v>
      </c>
      <c r="O165" s="625">
        <f>SUBTOTAL(9,O167:O180)</f>
        <v>0</v>
      </c>
      <c r="P165" s="575"/>
      <c r="Q165" s="575"/>
      <c r="R165" s="575"/>
      <c r="S165" s="615"/>
      <c r="T165" s="575"/>
      <c r="X165" s="575"/>
      <c r="Y165" s="575"/>
      <c r="Z165" s="575"/>
    </row>
    <row r="166" spans="1:26" ht="15" hidden="1" customHeight="1" outlineLevel="1" x14ac:dyDescent="0.15">
      <c r="B166" s="626"/>
      <c r="C166" s="627" t="s">
        <v>54</v>
      </c>
      <c r="D166" s="628" t="s">
        <v>55</v>
      </c>
      <c r="E166" s="627" t="s">
        <v>56</v>
      </c>
      <c r="F166" s="627" t="s">
        <v>57</v>
      </c>
      <c r="G166" s="627" t="s">
        <v>58</v>
      </c>
      <c r="H166" s="627" t="s">
        <v>59</v>
      </c>
      <c r="I166" s="628" t="s">
        <v>60</v>
      </c>
      <c r="J166" s="629"/>
      <c r="K166" s="630"/>
      <c r="L166" s="630"/>
      <c r="M166" s="631"/>
      <c r="N166" s="632"/>
      <c r="O166" s="614"/>
      <c r="S166" s="596"/>
      <c r="Y166" s="575"/>
    </row>
    <row r="167" spans="1:26" ht="15" hidden="1" customHeight="1" outlineLevel="1" x14ac:dyDescent="0.2">
      <c r="A167" s="568">
        <v>210</v>
      </c>
      <c r="B167" s="633" t="s">
        <v>61</v>
      </c>
      <c r="C167" s="634" t="s">
        <v>62</v>
      </c>
      <c r="D167" s="635" t="s">
        <v>87</v>
      </c>
      <c r="E167" s="636"/>
      <c r="F167" s="636"/>
      <c r="G167" s="636"/>
      <c r="H167" s="637"/>
      <c r="I167" s="636"/>
      <c r="J167" s="638">
        <f>IF(ISNA(C165),0,IF(F165&gt;3000,0,(IF(H165&lt;1,0,((VLOOKUP(G165,CC!$D$2:$E$670,2,FALSE))*H165)+((VLOOKUP(G165,CC!$D$2:$AD$670,17,FALSE)*(H165/H167)))))))</f>
        <v>0</v>
      </c>
      <c r="K167" s="639">
        <f>J167*1</f>
        <v>0</v>
      </c>
      <c r="L167" s="640">
        <v>0.44</v>
      </c>
      <c r="M167" s="641">
        <f t="shared" ref="M167:M180" si="18">K167/(1-L167)*(1+$C$9)</f>
        <v>0</v>
      </c>
      <c r="N167" s="639">
        <f>M167*VLOOKUP($B$9,'Base Costs'!$A$32:$B$37,2,FALSE)</f>
        <v>0</v>
      </c>
      <c r="O167" s="642">
        <f t="shared" ref="O167:O180" si="19">M167-K167</f>
        <v>0</v>
      </c>
      <c r="S167" s="596"/>
      <c r="Y167" s="575"/>
    </row>
    <row r="168" spans="1:26" ht="15" hidden="1" customHeight="1" outlineLevel="1" x14ac:dyDescent="0.15">
      <c r="A168" s="568">
        <v>104</v>
      </c>
      <c r="B168" s="633" t="s">
        <v>64</v>
      </c>
      <c r="C168" s="635" t="s">
        <v>65</v>
      </c>
      <c r="D168" s="643"/>
      <c r="E168" s="644"/>
      <c r="F168" s="645"/>
      <c r="G168" s="646"/>
      <c r="H168" s="570"/>
      <c r="I168" s="570"/>
      <c r="J168" s="638">
        <f>IF(ISNA(C165),0,IF(D168=0,0,IF(C168="FLO",VLOOKUP(E168,'Base Costs'!$M$4:$N$14,2,FALSE),IF(C168="LED STRIP",VLOOKUP(E168,'Base Costs'!$M$4:$N$14,2,FALSE),(VLOOKUP(C168,'Base Costs'!$M$4:$N$14,2,FALSE))))))</f>
        <v>0</v>
      </c>
      <c r="K168" s="639">
        <f>J168*D168</f>
        <v>0</v>
      </c>
      <c r="L168" s="640">
        <v>0.31</v>
      </c>
      <c r="M168" s="641">
        <f t="shared" si="18"/>
        <v>0</v>
      </c>
      <c r="N168" s="639">
        <f>M168*VLOOKUP($B$9,'Base Costs'!$A$32:$B$37,2,FALSE)</f>
        <v>0</v>
      </c>
      <c r="O168" s="642">
        <f t="shared" si="19"/>
        <v>0</v>
      </c>
      <c r="P168" s="647"/>
      <c r="S168" s="596"/>
      <c r="Y168" s="575"/>
    </row>
    <row r="169" spans="1:26" ht="15" hidden="1" customHeight="1" outlineLevel="1" x14ac:dyDescent="0.15">
      <c r="A169" s="568">
        <v>234</v>
      </c>
      <c r="B169" s="204" t="s">
        <v>331</v>
      </c>
      <c r="C169" s="834" t="s">
        <v>331</v>
      </c>
      <c r="D169" s="648"/>
      <c r="E169" s="649"/>
      <c r="F169" s="650"/>
      <c r="G169" s="651"/>
      <c r="H169" s="652"/>
      <c r="I169" s="653">
        <v>1</v>
      </c>
      <c r="J169" s="638">
        <f>VLOOKUP(C169,'Base Costs'!$U$4:$V$41,2,FALSE)</f>
        <v>0</v>
      </c>
      <c r="K169" s="639">
        <f>J169*1</f>
        <v>0</v>
      </c>
      <c r="L169" s="640">
        <v>0.25</v>
      </c>
      <c r="M169" s="641">
        <f t="shared" si="18"/>
        <v>0</v>
      </c>
      <c r="N169" s="639">
        <f>M169*VLOOKUP($B$9,'Base Costs'!$A$32:$B$37,2,FALSE)</f>
        <v>0</v>
      </c>
      <c r="O169" s="642">
        <f t="shared" si="19"/>
        <v>0</v>
      </c>
      <c r="S169" s="596"/>
      <c r="Y169" s="575"/>
    </row>
    <row r="170" spans="1:26" ht="15" hidden="1" customHeight="1" outlineLevel="1" x14ac:dyDescent="0.15">
      <c r="B170" s="204" t="s">
        <v>332</v>
      </c>
      <c r="C170" s="834" t="s">
        <v>332</v>
      </c>
      <c r="D170" s="844">
        <v>1</v>
      </c>
      <c r="E170" s="655"/>
      <c r="F170" s="656"/>
      <c r="G170" s="651"/>
      <c r="H170" s="652"/>
      <c r="I170" s="657"/>
      <c r="J170" s="638">
        <f>VLOOKUP(C170,'Base Costs'!$U$44:$V$56,2,FALSE)</f>
        <v>0</v>
      </c>
      <c r="K170" s="639">
        <f>J170*D170</f>
        <v>0</v>
      </c>
      <c r="L170" s="640">
        <v>0.35</v>
      </c>
      <c r="M170" s="641">
        <f t="shared" si="18"/>
        <v>0</v>
      </c>
      <c r="N170" s="639">
        <f>M170*VLOOKUP($B$9,'Base Costs'!$A$32:$B$37,2,FALSE)</f>
        <v>0</v>
      </c>
      <c r="O170" s="642">
        <f t="shared" si="19"/>
        <v>0</v>
      </c>
      <c r="S170" s="596"/>
      <c r="Y170" s="575"/>
    </row>
    <row r="171" spans="1:26" ht="15" hidden="1" customHeight="1" outlineLevel="1" x14ac:dyDescent="0.15">
      <c r="B171" s="487" t="s">
        <v>66</v>
      </c>
      <c r="C171" s="33" t="s">
        <v>67</v>
      </c>
      <c r="D171" s="637"/>
      <c r="E171" s="655" t="str">
        <f>IF(C171="","",VLOOKUP(C171,CCBASE!$A$53:$D$73,4,FALSE))</f>
        <v/>
      </c>
      <c r="F171" s="656"/>
      <c r="G171" s="651"/>
      <c r="H171" s="652"/>
      <c r="I171" s="657"/>
      <c r="J171" s="638">
        <f>IF(C171="",0,VLOOKUP(C171,CCBASE!$A$53:$C$73,2,FALSE))</f>
        <v>0</v>
      </c>
      <c r="K171" s="639">
        <f>J171*D171</f>
        <v>0</v>
      </c>
      <c r="L171" s="640">
        <v>0.44</v>
      </c>
      <c r="M171" s="641">
        <f t="shared" si="18"/>
        <v>0</v>
      </c>
      <c r="N171" s="639">
        <f>M171*VLOOKUP($B$9,'Base Costs'!$A$32:$B$37,2,FALSE)</f>
        <v>0</v>
      </c>
      <c r="O171" s="642">
        <f t="shared" si="19"/>
        <v>0</v>
      </c>
      <c r="S171" s="596"/>
      <c r="Y171" s="575"/>
    </row>
    <row r="172" spans="1:26" ht="15" hidden="1" customHeight="1" outlineLevel="1" x14ac:dyDescent="0.15">
      <c r="A172" s="568">
        <v>289</v>
      </c>
      <c r="B172" s="487" t="s">
        <v>71</v>
      </c>
      <c r="C172" s="33" t="s">
        <v>72</v>
      </c>
      <c r="D172" s="658">
        <f>ROUNDUP($F167/1000,0)</f>
        <v>0</v>
      </c>
      <c r="E172" s="950" t="s">
        <v>73</v>
      </c>
      <c r="F172" s="941"/>
      <c r="G172" s="656"/>
      <c r="H172" s="652"/>
      <c r="I172" s="657"/>
      <c r="J172" s="638">
        <f>IF(D172=0,0,VLOOKUP(C172,'Base Costs'!$A$19:$B$22,2,FALSE))</f>
        <v>0</v>
      </c>
      <c r="K172" s="639">
        <f>J172*D172</f>
        <v>0</v>
      </c>
      <c r="L172" s="640">
        <v>0.44</v>
      </c>
      <c r="M172" s="641">
        <f t="shared" si="18"/>
        <v>0</v>
      </c>
      <c r="N172" s="639">
        <f>M172*VLOOKUP($B$9,'Base Costs'!$A$32:$B$37,2,FALSE)</f>
        <v>0</v>
      </c>
      <c r="O172" s="642">
        <f t="shared" si="19"/>
        <v>0</v>
      </c>
      <c r="S172" s="596"/>
      <c r="Y172" s="575"/>
    </row>
    <row r="173" spans="1:26" ht="15" hidden="1" customHeight="1" outlineLevel="1" x14ac:dyDescent="0.15">
      <c r="A173" s="568">
        <v>242</v>
      </c>
      <c r="B173" s="487" t="s">
        <v>77</v>
      </c>
      <c r="C173" s="654"/>
      <c r="D173" s="644" t="s">
        <v>78</v>
      </c>
      <c r="E173" s="651"/>
      <c r="F173" s="650"/>
      <c r="G173" s="651"/>
      <c r="H173" s="652"/>
      <c r="I173" s="657"/>
      <c r="J173" s="638">
        <f>IF(C173=0,0,'Base Costs'!$B$26)</f>
        <v>0</v>
      </c>
      <c r="K173" s="639">
        <f>J173*C173</f>
        <v>0</v>
      </c>
      <c r="L173" s="640">
        <v>0.44</v>
      </c>
      <c r="M173" s="641">
        <f t="shared" si="18"/>
        <v>0</v>
      </c>
      <c r="N173" s="639">
        <f>M173*VLOOKUP($B$9,'Base Costs'!$A$32:$B$37,2,FALSE)</f>
        <v>0</v>
      </c>
      <c r="O173" s="642">
        <f t="shared" si="19"/>
        <v>0</v>
      </c>
      <c r="S173" s="596"/>
      <c r="Y173" s="575"/>
    </row>
    <row r="174" spans="1:26" ht="15" hidden="1" customHeight="1" outlineLevel="1" x14ac:dyDescent="0.15">
      <c r="A174" s="568">
        <v>220</v>
      </c>
      <c r="B174" s="633" t="s">
        <v>80</v>
      </c>
      <c r="C174" s="654"/>
      <c r="D174" s="644" t="s">
        <v>81</v>
      </c>
      <c r="E174" s="650"/>
      <c r="F174" s="650"/>
      <c r="G174" s="659" t="str">
        <f>IF(ISNUMBER(SEARCH("KSA",$D175)),"MAX. EXTRACT (m³/s)", "")</f>
        <v/>
      </c>
      <c r="H174" s="942" t="str">
        <f>IF(ISNUMBER(SEARCH("MUAP",$D167)),"MAX.  SUPPLY (m³/s)",IF(ISNUMBER(SEARCH("SPECIAL",$D167)),"MAX.  SUPPLY (m³/s)",(IF(ISNUMBER(SEARCH("F",$D167)),"MAX.  SUPPLY (m³/s)",""))))</f>
        <v/>
      </c>
      <c r="I174" s="943"/>
      <c r="J174" s="638">
        <f>IF(C174=0,0,'Base Costs'!$B$29)</f>
        <v>0</v>
      </c>
      <c r="K174" s="639">
        <f>J174*C174</f>
        <v>0</v>
      </c>
      <c r="L174" s="640">
        <v>0.44</v>
      </c>
      <c r="M174" s="641">
        <f t="shared" si="18"/>
        <v>0</v>
      </c>
      <c r="N174" s="639">
        <f>M174*VLOOKUP($B$9,'Base Costs'!$A$32:$B$37,2,FALSE)</f>
        <v>0</v>
      </c>
      <c r="O174" s="642">
        <f t="shared" si="19"/>
        <v>0</v>
      </c>
      <c r="S174" s="596"/>
      <c r="Y174" s="575"/>
    </row>
    <row r="175" spans="1:26" ht="15" hidden="1" customHeight="1" outlineLevel="1" x14ac:dyDescent="0.15">
      <c r="A175" s="568">
        <v>103</v>
      </c>
      <c r="B175" s="633" t="s">
        <v>82</v>
      </c>
      <c r="C175" s="643">
        <f>IF(ISNUMBER(SEARCH("CMW",D167)),1,IF(F165=0,0,(ROUNDDOWN(((((F167-(100+(50*H165))))/H167)/500),0)*H165)))</f>
        <v>0</v>
      </c>
      <c r="D175" s="644" t="str">
        <f>VLOOKUP(D167,'Base Costs'!$A$39:$B$58,2,FALSE)</f>
        <v>FILTER TYPE</v>
      </c>
      <c r="E175" s="660" t="str">
        <f>IF(C175=0,0,IF(D175="KSA",ROUND(I167/C175,3),""))&amp; "  m³/s per filter"</f>
        <v>0  m³/s per filter</v>
      </c>
      <c r="F175" s="660" t="str">
        <f>IF(C175=0," Pa",ROUND((((I167*3600)/(C175*I164))^2),1)+20&amp; " Pa")</f>
        <v xml:space="preserve"> Pa</v>
      </c>
      <c r="G175" s="661" t="str">
        <f>IF(ISNUMBER(SEARCH("KSA",$D175)),$C175*0.25, "")</f>
        <v/>
      </c>
      <c r="H175" s="949" t="str">
        <f>IF(ISNUMBER(SEARCH("MUAP",$D167)),0.225*($F167/1000),IF(ISNUMBER(SEARCH("SPECIAL",$D167)),0.225*($F167/1000),(IF(ISNUMBER(SEARCH("F",$D167)),0.225*($F167/1000),""))))</f>
        <v/>
      </c>
      <c r="I175" s="943"/>
      <c r="J175" s="638">
        <f>IF(ISNA(D175),0,(VLOOKUP(D175,'Base Costs'!$Q$4:$R$11,2,FALSE)))</f>
        <v>0</v>
      </c>
      <c r="K175" s="639">
        <f>IF(ISNA(D175),0,IF(D175="MX",J175*1,J175*C175))</f>
        <v>0</v>
      </c>
      <c r="L175" s="640">
        <v>0.44</v>
      </c>
      <c r="M175" s="641">
        <f t="shared" si="18"/>
        <v>0</v>
      </c>
      <c r="N175" s="639">
        <f>M175*VLOOKUP($B$9,'Base Costs'!$A$32:$B$37,2,FALSE)</f>
        <v>0</v>
      </c>
      <c r="O175" s="642">
        <f t="shared" si="19"/>
        <v>0</v>
      </c>
      <c r="S175" s="596"/>
      <c r="Y175" s="575"/>
    </row>
    <row r="176" spans="1:26" ht="15" hidden="1" customHeight="1" outlineLevel="1" x14ac:dyDescent="0.15">
      <c r="B176" s="204" t="s">
        <v>83</v>
      </c>
      <c r="C176" s="643">
        <v>0</v>
      </c>
      <c r="D176" s="735" t="str">
        <f>VLOOKUP(D167,'Base Costs'!$A$39:$C$58,3,FALSE)</f>
        <v>PSU</v>
      </c>
      <c r="E176" s="660" t="str">
        <f>IF(C176=0,0,IF(D176="PSU",ROUND(I167/C176,3),""))&amp; " m³/s per filter"</f>
        <v>0 m³/s per filter</v>
      </c>
      <c r="F176" s="660" t="str">
        <f>IF(C176=0," Pa",ROUND((((I167*3600)/(C176*I164))^2),1)+20&amp; " Pa")</f>
        <v xml:space="preserve"> Pa</v>
      </c>
      <c r="G176" s="661" t="str">
        <f>IF(ISNUMBER(SEARCH("KSA",$D176)),$C176*0.25, "")</f>
        <v/>
      </c>
      <c r="H176" s="949" t="str">
        <f>IF(ISNUMBER(SEARCH("MUAP",$D167)),0.225*($F167/1000),IF(ISNUMBER(SEARCH("SPECIAL",$D167)),0.225*($F167/1000),(IF(ISNUMBER(SEARCH("F",$D167)),0.225*($F167/1000),""))))</f>
        <v/>
      </c>
      <c r="I176" s="943"/>
      <c r="J176" s="638"/>
      <c r="K176" s="639">
        <f>IF(ISNA(D176),0,IF(D176="MX",J176*1,J176*C176))</f>
        <v>0</v>
      </c>
      <c r="L176" s="640">
        <v>0.44</v>
      </c>
      <c r="M176" s="641">
        <f t="shared" si="18"/>
        <v>0</v>
      </c>
      <c r="N176" s="639">
        <f>M176*VLOOKUP($B$9,'Base Costs'!$A$32:$B$37,2,FALSE)</f>
        <v>0</v>
      </c>
      <c r="O176" s="642">
        <f t="shared" si="19"/>
        <v>0</v>
      </c>
      <c r="S176" s="596"/>
      <c r="Y176" s="575"/>
    </row>
    <row r="177" spans="1:25" ht="15" hidden="1" customHeight="1" outlineLevel="1" x14ac:dyDescent="0.15">
      <c r="A177" s="568">
        <v>107</v>
      </c>
      <c r="B177" s="662" t="str">
        <f>IF(ISNUMBER(SEARCH("UV",D167)),"UV-C COMPONENTS",IF(ISNUMBER(SEARCH("CMW",D167)),"WATERWASH COMPONENTS",""))</f>
        <v/>
      </c>
      <c r="C177" s="663" t="str">
        <f>IF(H165=0,"UVR",IF(I167=0,"UVR",IF(I177&gt;0,("UVR")&amp;(INDEX('Base Costs'!$AH$5:$AI$10,(MATCH((I167/H165),'Base Costs'!$AI$5:$AI$10,-1)),1))&amp;("-")&amp;(H165),"UVR")))</f>
        <v>UVR</v>
      </c>
      <c r="D177" s="671" t="str">
        <f>VLOOKUP(C177,'Base Costs'!$Z$4:$AF$77,7,FALSE)&amp;" m³/s"</f>
        <v xml:space="preserve"> m³/s</v>
      </c>
      <c r="E177" s="665" t="str">
        <f>IF(ISNUMBER(SEARCH("L",C177)),"LONG RACK IN SECTION","SHORTRACK")</f>
        <v>SHORTRACK</v>
      </c>
      <c r="F177" s="666" t="str">
        <f>IF(ISNUMBER(SEARCH("L",C177)),ROUND(F167/H167,1)&amp;" mm","")</f>
        <v/>
      </c>
      <c r="G177" s="656"/>
      <c r="H177" s="656"/>
      <c r="I177" s="653">
        <f>IF(ISNUMBER(SEARCH("UV",D167)),1, 0)</f>
        <v>0</v>
      </c>
      <c r="J177" s="638">
        <f>IF(ISNA(C177),0,VLOOKUP(C177,'Base Costs'!$Z$4:$AF$77,2,FALSE))</f>
        <v>0</v>
      </c>
      <c r="K177" s="639">
        <f>J177*1</f>
        <v>0</v>
      </c>
      <c r="L177" s="640">
        <v>0.44</v>
      </c>
      <c r="M177" s="641">
        <f t="shared" si="18"/>
        <v>0</v>
      </c>
      <c r="N177" s="639">
        <f>M177*VLOOKUP($B$9,'Base Costs'!$A$32:$B$37,2,FALSE)</f>
        <v>0</v>
      </c>
      <c r="O177" s="642">
        <f t="shared" si="19"/>
        <v>0</v>
      </c>
      <c r="S177" s="596"/>
      <c r="Y177" s="575"/>
    </row>
    <row r="178" spans="1:25" ht="15" hidden="1" customHeight="1" outlineLevel="1" x14ac:dyDescent="0.15">
      <c r="B178" s="633" t="str">
        <f>IF(ISNUMBER(SEARCH("UV",D167)),"UV-C 2ND FILTER",IF(ISNUMBER(SEARCH("CMW",D167)),"CONTROL PANEL",""))</f>
        <v/>
      </c>
      <c r="C178" s="660" t="s">
        <v>84</v>
      </c>
      <c r="D178" s="662" t="str">
        <f>IF(ISNUMBER(SEARCH("CP1S",$C178)),"Up to 12m of canopy","")</f>
        <v/>
      </c>
      <c r="E178" s="662" t="str">
        <f>IF(ISNUMBER(SEARCH("CMW",$D167)),"CWS REQUIREMENT @ 2Bar","")</f>
        <v/>
      </c>
      <c r="F178" s="667" t="str">
        <f>IF(ISNUMBER(SEARCH("CMW",$D167)),$F167/1000*0.02&amp;" L/S","")</f>
        <v/>
      </c>
      <c r="G178" s="656"/>
      <c r="H178" s="652"/>
      <c r="I178" s="653">
        <f>C175</f>
        <v>0</v>
      </c>
      <c r="J178" s="638">
        <f>IF(ISNUMBER(SEARCH("CMW",D167)),VLOOKUP(C178,CCBASE!$A$81:$B$85,2,FALSE),(IF(I177&gt;0,'Base Costs'!$R$7,0)))</f>
        <v>0</v>
      </c>
      <c r="K178" s="639">
        <f>J178*C175</f>
        <v>0</v>
      </c>
      <c r="L178" s="640">
        <v>0.44</v>
      </c>
      <c r="M178" s="641">
        <f t="shared" si="18"/>
        <v>0</v>
      </c>
      <c r="N178" s="639">
        <f>M178*VLOOKUP($B$9,'Base Costs'!$A$32:$B$37,2,FALSE)</f>
        <v>0</v>
      </c>
      <c r="O178" s="642">
        <f t="shared" si="19"/>
        <v>0</v>
      </c>
      <c r="S178" s="596"/>
      <c r="Y178" s="575"/>
    </row>
    <row r="179" spans="1:25" ht="15" hidden="1" customHeight="1" outlineLevel="1" x14ac:dyDescent="0.15">
      <c r="A179" s="568">
        <v>285</v>
      </c>
      <c r="B179" s="633" t="str">
        <f>IF(ISNUMBER(SEARCH("UV",D167)),"UV-C WORKSHOP WIRING",IF(ISNUMBER(SEARCH("CMW",D167)),"W/W PODS",""))</f>
        <v/>
      </c>
      <c r="C179" s="660" t="s">
        <v>85</v>
      </c>
      <c r="D179" s="660">
        <v>0</v>
      </c>
      <c r="E179" s="662" t="str">
        <f>IF(ISNUMBER(SEARCH("CMW",$D167)),"HWS REQUIREMENT @ 60°C ","")</f>
        <v/>
      </c>
      <c r="F179" s="668" t="str">
        <f>IF(ISNUMBER(SEARCH("CMW",$D167)),$F167/1000*0.103&amp;" L/S","")</f>
        <v/>
      </c>
      <c r="G179" s="656"/>
      <c r="H179" s="652"/>
      <c r="I179" s="653">
        <f>IF(I177&gt;0,H165,0)</f>
        <v>0</v>
      </c>
      <c r="J179" s="638">
        <f>IF(ISNUMBER(SEARCH("CMW",D167)),VLOOKUP(C179,'Base Costs'!$Q$35:$R$45,2,FALSE),IF(I179=0,0,36*1.03))</f>
        <v>0</v>
      </c>
      <c r="K179" s="639">
        <f>IF(ISNUMBER(SEARCH("CMW",D167)),J179*D179,J179*H165)</f>
        <v>0</v>
      </c>
      <c r="L179" s="640">
        <v>0.44</v>
      </c>
      <c r="M179" s="641">
        <f t="shared" si="18"/>
        <v>0</v>
      </c>
      <c r="N179" s="639">
        <f>M179*VLOOKUP($B$9,'Base Costs'!$A$32:$B$37,2,FALSE)</f>
        <v>0</v>
      </c>
      <c r="O179" s="642">
        <f t="shared" si="19"/>
        <v>0</v>
      </c>
      <c r="S179" s="596"/>
      <c r="Y179" s="575"/>
    </row>
    <row r="180" spans="1:25" ht="15" hidden="1" customHeight="1" outlineLevel="1" x14ac:dyDescent="0.15">
      <c r="A180" s="568">
        <v>286</v>
      </c>
      <c r="B180" s="633" t="str">
        <f>IF(ISNUMBER(SEARCH("CMW",$D167)),"CWS/HWS PIPEWORK UP TO 5M",IF(ISNUMBER(SEARCH("UV",$D167)),"MU5 INTERFACE", ""))</f>
        <v/>
      </c>
      <c r="C180" s="660">
        <v>1</v>
      </c>
      <c r="D180" s="669"/>
      <c r="E180" s="662" t="str">
        <f>IF(ISNUMBER(SEARCH("CMW",$D167)),"HW STORAGE 3m wash","")</f>
        <v/>
      </c>
      <c r="F180" s="667" t="str">
        <f>IF(ISNUMBER(SEARCH("CMW",$D167)),($F167/1000)*0.103*180&amp;" L","")</f>
        <v/>
      </c>
      <c r="G180" s="651"/>
      <c r="H180" s="652"/>
      <c r="I180" s="653">
        <f>IF(I177=0,0,1)</f>
        <v>0</v>
      </c>
      <c r="J180" s="638">
        <f>IF(B180="CWS/HWS PIPEWORK UP TO 5M",CCBASE!$B$65,IF(I180=0,0,100*1.44))</f>
        <v>0</v>
      </c>
      <c r="K180" s="639">
        <f>J180*C180</f>
        <v>0</v>
      </c>
      <c r="L180" s="640">
        <v>0.44</v>
      </c>
      <c r="M180" s="641">
        <f t="shared" si="18"/>
        <v>0</v>
      </c>
      <c r="N180" s="639">
        <f>M180*VLOOKUP($B$9,'Base Costs'!$A$32:$B$37,2,FALSE)</f>
        <v>0</v>
      </c>
      <c r="O180" s="642">
        <f t="shared" si="19"/>
        <v>0</v>
      </c>
      <c r="S180" s="596"/>
      <c r="Y180" s="575"/>
    </row>
    <row r="181" spans="1:25" ht="15" customHeight="1" collapsed="1" x14ac:dyDescent="0.15">
      <c r="B181" s="672"/>
      <c r="C181" s="672"/>
      <c r="D181" s="672"/>
      <c r="E181" s="672"/>
      <c r="F181" s="672"/>
      <c r="G181" s="672"/>
      <c r="H181" s="617"/>
      <c r="I181" s="617"/>
      <c r="J181" s="619"/>
      <c r="K181" s="673"/>
      <c r="L181" s="674"/>
      <c r="M181" s="673"/>
      <c r="N181" s="673"/>
      <c r="S181" s="596"/>
      <c r="Y181" s="575"/>
    </row>
    <row r="182" spans="1:25" ht="15" customHeight="1" x14ac:dyDescent="0.15">
      <c r="B182" s="966" t="s">
        <v>88</v>
      </c>
      <c r="C182" s="941"/>
      <c r="D182" s="941"/>
      <c r="E182" s="941"/>
      <c r="F182" s="941"/>
      <c r="G182" s="941"/>
      <c r="H182" s="622"/>
      <c r="I182" s="622"/>
      <c r="J182" s="675"/>
      <c r="K182" s="625">
        <f>SUBTOTAL(9,K183:K197)</f>
        <v>1056.25</v>
      </c>
      <c r="L182" s="606">
        <f>IF(K182=0,"-",O182/M182)</f>
        <v>0.37967494521548584</v>
      </c>
      <c r="M182" s="625">
        <f>SUBTOTAL(9,M183:M197)</f>
        <v>1702.7363184079604</v>
      </c>
      <c r="N182" s="607">
        <f>SUBTOTAL(9,N183:N197)</f>
        <v>1702.7363184079604</v>
      </c>
      <c r="O182" s="605">
        <f>SUBTOTAL(9,O183:O197)</f>
        <v>646.48631840796043</v>
      </c>
      <c r="S182" s="596"/>
    </row>
    <row r="183" spans="1:25" ht="15" customHeight="1" x14ac:dyDescent="0.15">
      <c r="A183" s="568">
        <v>222</v>
      </c>
      <c r="B183" s="205" t="s">
        <v>89</v>
      </c>
      <c r="C183" s="676"/>
      <c r="D183" s="677" t="s">
        <v>90</v>
      </c>
      <c r="E183" s="956" t="s">
        <v>91</v>
      </c>
      <c r="F183" s="941"/>
      <c r="G183" s="957"/>
      <c r="H183" s="943"/>
      <c r="I183" s="943"/>
      <c r="J183" s="678">
        <f>VLOOKUP(D183,'Base Costs'!E4:G213,2,FALSE)</f>
        <v>408.1</v>
      </c>
      <c r="K183" s="639">
        <f t="shared" ref="K183:K197" si="20">C183*J183</f>
        <v>0</v>
      </c>
      <c r="L183" s="640">
        <v>0.33</v>
      </c>
      <c r="M183" s="641">
        <f t="shared" ref="M183:M197" si="21">K183/(1-L183)*(1+$C$9)</f>
        <v>0</v>
      </c>
      <c r="N183" s="639">
        <f>M183*VLOOKUP($B$9,'Base Costs'!$A$32:$B$37,2,FALSE)</f>
        <v>0</v>
      </c>
      <c r="O183" s="642">
        <f t="shared" ref="O183:O197" si="22">M183-K183</f>
        <v>0</v>
      </c>
      <c r="S183" s="596"/>
    </row>
    <row r="184" spans="1:25" ht="15" customHeight="1" x14ac:dyDescent="0.15">
      <c r="A184" s="568">
        <v>257</v>
      </c>
      <c r="B184" s="204" t="s">
        <v>92</v>
      </c>
      <c r="C184" s="679"/>
      <c r="D184" s="677" t="s">
        <v>93</v>
      </c>
      <c r="E184" s="970" t="s">
        <v>334</v>
      </c>
      <c r="F184" s="941"/>
      <c r="G184" s="650"/>
      <c r="H184" s="650"/>
      <c r="I184" s="650"/>
      <c r="J184" s="678">
        <f>VLOOKUP(D184,'Base Costs'!$A$4:$B$16,2,FALSE)</f>
        <v>0</v>
      </c>
      <c r="K184" s="639">
        <f t="shared" si="20"/>
        <v>0</v>
      </c>
      <c r="L184" s="640">
        <v>0.33</v>
      </c>
      <c r="M184" s="641">
        <f t="shared" si="21"/>
        <v>0</v>
      </c>
      <c r="N184" s="639">
        <f>M184*VLOOKUP($B$9,'Base Costs'!$A$32:$B$37,2,FALSE)</f>
        <v>0</v>
      </c>
      <c r="O184" s="642">
        <f t="shared" si="22"/>
        <v>0</v>
      </c>
      <c r="S184" s="596"/>
    </row>
    <row r="185" spans="1:25" ht="15" customHeight="1" x14ac:dyDescent="0.15">
      <c r="A185" s="568">
        <v>257</v>
      </c>
      <c r="B185" s="836" t="s">
        <v>92</v>
      </c>
      <c r="C185" s="841">
        <v>1</v>
      </c>
      <c r="D185" s="835" t="s">
        <v>335</v>
      </c>
      <c r="E185" s="972" t="s">
        <v>334</v>
      </c>
      <c r="F185" s="941"/>
      <c r="G185" s="650"/>
      <c r="H185" s="650"/>
      <c r="I185" s="650"/>
      <c r="J185" s="678">
        <f>VLOOKUP(D185,'Base Costs'!$A$4:$B$16,2,FALSE)</f>
        <v>127.2</v>
      </c>
      <c r="K185" s="639">
        <f t="shared" si="20"/>
        <v>127.2</v>
      </c>
      <c r="L185" s="640">
        <v>0.33</v>
      </c>
      <c r="M185" s="641">
        <f t="shared" si="21"/>
        <v>189.85074626865674</v>
      </c>
      <c r="N185" s="639">
        <f>M185*VLOOKUP($B$9,'Base Costs'!$A$32:$B$37,2,FALSE)</f>
        <v>189.85074626865674</v>
      </c>
      <c r="O185" s="642">
        <f t="shared" si="22"/>
        <v>62.650746268656732</v>
      </c>
      <c r="P185" s="152" t="s">
        <v>336</v>
      </c>
      <c r="S185" s="596"/>
    </row>
    <row r="186" spans="1:25" ht="15" customHeight="1" x14ac:dyDescent="0.15">
      <c r="A186" s="568">
        <v>222</v>
      </c>
      <c r="B186" s="826" t="s">
        <v>337</v>
      </c>
      <c r="C186" s="842">
        <v>0.5</v>
      </c>
      <c r="D186" s="931" t="s">
        <v>90</v>
      </c>
      <c r="E186" s="969" t="s">
        <v>338</v>
      </c>
      <c r="F186" s="941"/>
      <c r="G186" s="957"/>
      <c r="H186" s="943"/>
      <c r="I186" s="943"/>
      <c r="J186" s="678">
        <f>VLOOKUP(D186,'Base Costs'!E4:G213,2,FALSE)</f>
        <v>408.1</v>
      </c>
      <c r="K186" s="639">
        <f t="shared" si="20"/>
        <v>204.05</v>
      </c>
      <c r="L186" s="640">
        <v>0.33</v>
      </c>
      <c r="M186" s="641">
        <f t="shared" si="21"/>
        <v>304.55223880597021</v>
      </c>
      <c r="N186" s="639">
        <f>M186*VLOOKUP($B$9,'Base Costs'!$A$32:$B$37,2,FALSE)</f>
        <v>304.55223880597021</v>
      </c>
      <c r="O186" s="642">
        <f t="shared" si="22"/>
        <v>100.50223880597019</v>
      </c>
      <c r="P186" s="152" t="s">
        <v>336</v>
      </c>
      <c r="S186" s="596"/>
    </row>
    <row r="187" spans="1:25" ht="15" customHeight="1" x14ac:dyDescent="0.15">
      <c r="A187" s="568">
        <v>400</v>
      </c>
      <c r="B187" s="633" t="s">
        <v>96</v>
      </c>
      <c r="C187" s="679"/>
      <c r="D187" s="651" t="s">
        <v>97</v>
      </c>
      <c r="E187" s="650"/>
      <c r="F187" s="650"/>
      <c r="G187" s="650"/>
      <c r="H187" s="650"/>
      <c r="I187" s="650"/>
      <c r="J187" s="678">
        <v>550</v>
      </c>
      <c r="K187" s="639">
        <f t="shared" si="20"/>
        <v>0</v>
      </c>
      <c r="L187" s="640">
        <v>0.33</v>
      </c>
      <c r="M187" s="641">
        <f t="shared" si="21"/>
        <v>0</v>
      </c>
      <c r="N187" s="639">
        <f>M187*VLOOKUP($B$9,'Base Costs'!$A$32:$B$37,2,FALSE)</f>
        <v>0</v>
      </c>
      <c r="O187" s="642">
        <f t="shared" si="22"/>
        <v>0</v>
      </c>
      <c r="S187" s="596"/>
    </row>
    <row r="188" spans="1:25" ht="15" customHeight="1" x14ac:dyDescent="0.15">
      <c r="A188" s="568">
        <v>102</v>
      </c>
      <c r="B188" s="204" t="s">
        <v>98</v>
      </c>
      <c r="C188" s="177"/>
      <c r="D188" s="651" t="s">
        <v>99</v>
      </c>
      <c r="E188" s="650"/>
      <c r="F188" s="650"/>
      <c r="G188" s="650"/>
      <c r="H188" s="650"/>
      <c r="I188" s="650"/>
      <c r="J188" s="678">
        <v>34</v>
      </c>
      <c r="K188" s="639">
        <f t="shared" si="20"/>
        <v>0</v>
      </c>
      <c r="L188" s="640">
        <v>0.33</v>
      </c>
      <c r="M188" s="641">
        <f t="shared" si="21"/>
        <v>0</v>
      </c>
      <c r="N188" s="639">
        <f>M188*VLOOKUP($B$9,'Base Costs'!$A$32:$B$37,2,FALSE)</f>
        <v>0</v>
      </c>
      <c r="O188" s="642">
        <f t="shared" si="22"/>
        <v>0</v>
      </c>
      <c r="S188" s="596"/>
    </row>
    <row r="189" spans="1:25" ht="15" customHeight="1" x14ac:dyDescent="0.15">
      <c r="A189" s="568">
        <v>400</v>
      </c>
      <c r="B189" s="836" t="s">
        <v>339</v>
      </c>
      <c r="C189" s="679">
        <v>0.5</v>
      </c>
      <c r="D189" s="968" t="s">
        <v>340</v>
      </c>
      <c r="E189" s="941"/>
      <c r="F189" s="941"/>
      <c r="G189" s="30"/>
      <c r="H189" s="30"/>
      <c r="I189" s="30"/>
      <c r="J189" s="678">
        <v>350</v>
      </c>
      <c r="K189" s="639">
        <f t="shared" si="20"/>
        <v>175</v>
      </c>
      <c r="L189" s="640">
        <v>0.4</v>
      </c>
      <c r="M189" s="641">
        <f t="shared" si="21"/>
        <v>291.66666666666669</v>
      </c>
      <c r="N189" s="639">
        <f>M189*VLOOKUP($B$9,'Base Costs'!$A$32:$B$37,2,FALSE)</f>
        <v>291.66666666666669</v>
      </c>
      <c r="O189" s="642">
        <f t="shared" si="22"/>
        <v>116.66666666666669</v>
      </c>
      <c r="P189" s="152" t="s">
        <v>336</v>
      </c>
      <c r="S189" s="596"/>
    </row>
    <row r="190" spans="1:25" ht="15" customHeight="1" x14ac:dyDescent="0.15">
      <c r="A190" s="568">
        <v>400</v>
      </c>
      <c r="B190" s="836" t="s">
        <v>341</v>
      </c>
      <c r="C190" s="843">
        <v>1</v>
      </c>
      <c r="D190" s="968" t="s">
        <v>342</v>
      </c>
      <c r="E190" s="941"/>
      <c r="F190" s="941"/>
      <c r="G190" s="973" t="s">
        <v>343</v>
      </c>
      <c r="H190" s="943"/>
      <c r="I190" s="943"/>
      <c r="J190" s="678">
        <v>550</v>
      </c>
      <c r="K190" s="639">
        <f t="shared" si="20"/>
        <v>550</v>
      </c>
      <c r="L190" s="640">
        <v>0.4</v>
      </c>
      <c r="M190" s="641">
        <f t="shared" si="21"/>
        <v>916.66666666666674</v>
      </c>
      <c r="N190" s="639">
        <f>M190*VLOOKUP($B$9,'Base Costs'!$A$32:$B$37,2,FALSE)</f>
        <v>916.66666666666674</v>
      </c>
      <c r="O190" s="642">
        <f t="shared" si="22"/>
        <v>366.66666666666674</v>
      </c>
      <c r="P190" s="152" t="s">
        <v>336</v>
      </c>
      <c r="S190" s="596"/>
    </row>
    <row r="191" spans="1:25" ht="15" customHeight="1" x14ac:dyDescent="0.15">
      <c r="A191" s="568">
        <v>253</v>
      </c>
      <c r="B191" s="693" t="s">
        <v>103</v>
      </c>
      <c r="C191" s="679"/>
      <c r="D191" s="30" t="s">
        <v>104</v>
      </c>
      <c r="E191" s="650"/>
      <c r="F191" s="650"/>
      <c r="G191" s="650"/>
      <c r="H191" s="650"/>
      <c r="I191" s="650"/>
      <c r="J191" s="678">
        <v>550</v>
      </c>
      <c r="K191" s="639">
        <f t="shared" si="20"/>
        <v>0</v>
      </c>
      <c r="L191" s="640">
        <v>0.33</v>
      </c>
      <c r="M191" s="641">
        <f t="shared" si="21"/>
        <v>0</v>
      </c>
      <c r="N191" s="639">
        <f>M191*VLOOKUP($B$9,'Base Costs'!$A$32:$B$37,2,FALSE)</f>
        <v>0</v>
      </c>
      <c r="O191" s="642">
        <f t="shared" si="22"/>
        <v>0</v>
      </c>
      <c r="S191" s="596"/>
    </row>
    <row r="192" spans="1:25" ht="15" customHeight="1" x14ac:dyDescent="0.15">
      <c r="A192" s="568">
        <v>253</v>
      </c>
      <c r="B192" s="204" t="s">
        <v>105</v>
      </c>
      <c r="C192" s="679"/>
      <c r="D192" s="651" t="s">
        <v>106</v>
      </c>
      <c r="E192" s="650"/>
      <c r="F192" s="650"/>
      <c r="G192" s="650"/>
      <c r="H192" s="650"/>
      <c r="I192" s="650"/>
      <c r="J192" s="678">
        <v>0</v>
      </c>
      <c r="K192" s="639">
        <f t="shared" si="20"/>
        <v>0</v>
      </c>
      <c r="L192" s="640">
        <v>0.33</v>
      </c>
      <c r="M192" s="641">
        <f t="shared" si="21"/>
        <v>0</v>
      </c>
      <c r="N192" s="639">
        <f>M192*VLOOKUP($B$9,'Base Costs'!$A$32:$B$37,2,FALSE)</f>
        <v>0</v>
      </c>
      <c r="O192" s="642">
        <f t="shared" si="22"/>
        <v>0</v>
      </c>
      <c r="S192" s="596"/>
    </row>
    <row r="193" spans="1:19" ht="15" customHeight="1" x14ac:dyDescent="0.15">
      <c r="A193" s="568">
        <v>280</v>
      </c>
      <c r="B193" s="633" t="s">
        <v>107</v>
      </c>
      <c r="C193" s="676"/>
      <c r="D193" s="971" t="s">
        <v>344</v>
      </c>
      <c r="E193" s="941"/>
      <c r="F193" s="941"/>
      <c r="G193" s="650"/>
      <c r="H193" s="650"/>
      <c r="I193" s="650"/>
      <c r="J193" s="678">
        <v>604</v>
      </c>
      <c r="K193" s="639">
        <f t="shared" si="20"/>
        <v>0</v>
      </c>
      <c r="L193" s="640">
        <v>0.33</v>
      </c>
      <c r="M193" s="641">
        <f t="shared" si="21"/>
        <v>0</v>
      </c>
      <c r="N193" s="639">
        <f>M193*VLOOKUP($B$9,'Base Costs'!$A$32:$B$37,2,FALSE)</f>
        <v>0</v>
      </c>
      <c r="O193" s="642">
        <f t="shared" si="22"/>
        <v>0</v>
      </c>
      <c r="S193" s="596"/>
    </row>
    <row r="194" spans="1:19" ht="15" customHeight="1" x14ac:dyDescent="0.15">
      <c r="B194" s="693" t="s">
        <v>109</v>
      </c>
      <c r="C194" s="679"/>
      <c r="D194" s="959" t="s">
        <v>110</v>
      </c>
      <c r="E194" s="941"/>
      <c r="F194" s="941"/>
      <c r="G194" s="650"/>
      <c r="H194" s="650"/>
      <c r="I194" s="650"/>
      <c r="J194" s="678">
        <v>1029</v>
      </c>
      <c r="K194" s="639">
        <f t="shared" si="20"/>
        <v>0</v>
      </c>
      <c r="L194" s="640">
        <v>0.33</v>
      </c>
      <c r="M194" s="641">
        <f t="shared" si="21"/>
        <v>0</v>
      </c>
      <c r="N194" s="639">
        <f>M194*VLOOKUP($B$9,'Base Costs'!$A$32:$B$37,2,FALSE)</f>
        <v>0</v>
      </c>
      <c r="O194" s="642">
        <f t="shared" si="22"/>
        <v>0</v>
      </c>
      <c r="S194" s="596"/>
    </row>
    <row r="195" spans="1:19" ht="15" customHeight="1" x14ac:dyDescent="0.15">
      <c r="B195" s="817" t="s">
        <v>111</v>
      </c>
      <c r="C195" s="679"/>
      <c r="D195" s="967" t="s">
        <v>112</v>
      </c>
      <c r="E195" s="941"/>
      <c r="F195" s="692"/>
      <c r="G195" s="650"/>
      <c r="H195" s="650"/>
      <c r="I195" s="650"/>
      <c r="J195" s="678">
        <v>210.72</v>
      </c>
      <c r="K195" s="639">
        <f t="shared" si="20"/>
        <v>0</v>
      </c>
      <c r="L195" s="640">
        <v>0.33</v>
      </c>
      <c r="M195" s="641">
        <f t="shared" si="21"/>
        <v>0</v>
      </c>
      <c r="N195" s="639">
        <f>M195*VLOOKUP($B$9,'Base Costs'!$A$32:$B$37,2,FALSE)</f>
        <v>0</v>
      </c>
      <c r="O195" s="642">
        <f t="shared" si="22"/>
        <v>0</v>
      </c>
      <c r="S195" s="596"/>
    </row>
    <row r="196" spans="1:19" ht="15" customHeight="1" x14ac:dyDescent="0.15">
      <c r="B196" s="693" t="s">
        <v>113</v>
      </c>
      <c r="C196" s="679"/>
      <c r="D196" s="951" t="s">
        <v>114</v>
      </c>
      <c r="E196" s="941"/>
      <c r="F196" s="692"/>
      <c r="G196" s="650"/>
      <c r="H196" s="650"/>
      <c r="I196" s="650"/>
      <c r="J196" s="678">
        <v>234.9</v>
      </c>
      <c r="K196" s="639">
        <f t="shared" si="20"/>
        <v>0</v>
      </c>
      <c r="L196" s="640">
        <v>0.33</v>
      </c>
      <c r="M196" s="641">
        <f t="shared" si="21"/>
        <v>0</v>
      </c>
      <c r="N196" s="639">
        <f>M196*VLOOKUP($B$9,'Base Costs'!$A$32:$B$37,2,FALSE)</f>
        <v>0</v>
      </c>
      <c r="O196" s="642">
        <f t="shared" si="22"/>
        <v>0</v>
      </c>
      <c r="S196" s="596"/>
    </row>
    <row r="197" spans="1:19" ht="15" customHeight="1" x14ac:dyDescent="0.15">
      <c r="A197" s="568">
        <v>284</v>
      </c>
      <c r="B197" s="633" t="s">
        <v>115</v>
      </c>
      <c r="C197" s="679"/>
      <c r="D197" s="956" t="s">
        <v>116</v>
      </c>
      <c r="E197" s="941"/>
      <c r="F197" s="941"/>
      <c r="G197" s="650"/>
      <c r="H197" s="650"/>
      <c r="I197" s="650"/>
      <c r="J197" s="678">
        <v>215</v>
      </c>
      <c r="K197" s="639">
        <f t="shared" si="20"/>
        <v>0</v>
      </c>
      <c r="L197" s="640">
        <v>0.33</v>
      </c>
      <c r="M197" s="641">
        <f t="shared" si="21"/>
        <v>0</v>
      </c>
      <c r="N197" s="639">
        <f>M197*VLOOKUP($B$9,'Base Costs'!$A$32:$B$37,2,FALSE)</f>
        <v>0</v>
      </c>
      <c r="O197" s="642">
        <f t="shared" si="22"/>
        <v>0</v>
      </c>
      <c r="S197" s="596"/>
    </row>
    <row r="198" spans="1:19" ht="15" customHeight="1" x14ac:dyDescent="0.15">
      <c r="B198" s="672"/>
      <c r="C198" s="672"/>
      <c r="D198" s="672"/>
      <c r="E198" s="672"/>
      <c r="F198" s="672"/>
      <c r="G198" s="680"/>
      <c r="H198" s="681"/>
      <c r="I198" s="681"/>
      <c r="J198" s="682"/>
      <c r="K198" s="673"/>
      <c r="L198" s="683"/>
      <c r="M198" s="673"/>
      <c r="N198" s="673"/>
      <c r="S198" s="596"/>
    </row>
    <row r="199" spans="1:19" ht="15" customHeight="1" x14ac:dyDescent="0.2">
      <c r="B199" s="684" t="s">
        <v>46</v>
      </c>
      <c r="C199" s="685"/>
      <c r="D199" s="686"/>
      <c r="E199" s="686"/>
      <c r="F199" s="685"/>
      <c r="G199" s="687"/>
      <c r="H199" s="685"/>
      <c r="I199" s="685"/>
      <c r="J199" s="685"/>
      <c r="K199" s="685"/>
      <c r="L199" s="685"/>
      <c r="M199" s="685"/>
      <c r="N199" s="685"/>
      <c r="O199" s="685"/>
      <c r="S199" s="596"/>
    </row>
    <row r="200" spans="1:19" ht="15" customHeight="1" x14ac:dyDescent="0.2">
      <c r="B200" s="960" t="s">
        <v>117</v>
      </c>
      <c r="C200" s="941"/>
      <c r="D200" s="941"/>
      <c r="E200" s="941"/>
      <c r="F200" s="941"/>
      <c r="G200" s="941"/>
      <c r="H200" s="943"/>
      <c r="I200" s="943"/>
      <c r="J200" s="945"/>
      <c r="K200" s="946"/>
      <c r="L200" s="946"/>
      <c r="M200" s="947"/>
      <c r="N200" s="945"/>
      <c r="O200" s="948"/>
      <c r="S200" s="596"/>
    </row>
    <row r="201" spans="1:19" ht="15" customHeight="1" x14ac:dyDescent="0.2">
      <c r="B201" s="963" t="s">
        <v>118</v>
      </c>
      <c r="C201" s="941"/>
      <c r="D201" s="941"/>
      <c r="E201" s="941"/>
      <c r="F201" s="941"/>
      <c r="G201" s="941"/>
      <c r="H201" s="943"/>
      <c r="I201" s="943"/>
      <c r="J201" s="945"/>
      <c r="K201" s="946"/>
      <c r="L201" s="946"/>
      <c r="M201" s="947"/>
      <c r="N201" s="945"/>
      <c r="O201" s="948"/>
      <c r="S201" s="596"/>
    </row>
    <row r="202" spans="1:19" ht="15" customHeight="1" x14ac:dyDescent="0.2">
      <c r="B202" s="944"/>
      <c r="C202" s="941"/>
      <c r="D202" s="941"/>
      <c r="E202" s="941"/>
      <c r="F202" s="941"/>
      <c r="G202" s="941"/>
      <c r="H202" s="943"/>
      <c r="I202" s="943"/>
      <c r="J202" s="945"/>
      <c r="K202" s="946"/>
      <c r="L202" s="946"/>
      <c r="M202" s="947"/>
      <c r="N202" s="945"/>
      <c r="O202" s="948"/>
      <c r="S202" s="596"/>
    </row>
    <row r="203" spans="1:19" ht="15" customHeight="1" x14ac:dyDescent="0.2">
      <c r="B203" s="944"/>
      <c r="C203" s="941"/>
      <c r="D203" s="941"/>
      <c r="E203" s="941"/>
      <c r="F203" s="941"/>
      <c r="G203" s="941"/>
      <c r="H203" s="943"/>
      <c r="I203" s="943"/>
      <c r="J203" s="945"/>
      <c r="K203" s="946"/>
      <c r="L203" s="946"/>
      <c r="M203" s="947"/>
      <c r="N203" s="945"/>
      <c r="O203" s="948"/>
      <c r="S203" s="596"/>
    </row>
    <row r="204" spans="1:19" ht="15" customHeight="1" x14ac:dyDescent="0.2">
      <c r="B204" s="944"/>
      <c r="C204" s="941"/>
      <c r="D204" s="941"/>
      <c r="E204" s="941"/>
      <c r="F204" s="941"/>
      <c r="G204" s="941"/>
      <c r="H204" s="943"/>
      <c r="I204" s="943"/>
      <c r="J204" s="945"/>
      <c r="K204" s="946"/>
      <c r="L204" s="946"/>
      <c r="M204" s="947"/>
      <c r="N204" s="945"/>
      <c r="O204" s="948"/>
      <c r="S204" s="596"/>
    </row>
    <row r="205" spans="1:19" ht="15" customHeight="1" x14ac:dyDescent="0.2">
      <c r="B205" s="944"/>
      <c r="C205" s="941"/>
      <c r="D205" s="941"/>
      <c r="E205" s="941"/>
      <c r="F205" s="941"/>
      <c r="G205" s="941"/>
      <c r="H205" s="943"/>
      <c r="I205" s="943"/>
      <c r="J205" s="945"/>
      <c r="K205" s="946"/>
      <c r="L205" s="946"/>
      <c r="M205" s="947"/>
      <c r="N205" s="945"/>
      <c r="O205" s="948"/>
      <c r="S205" s="596"/>
    </row>
    <row r="206" spans="1:19" ht="15" customHeight="1" x14ac:dyDescent="0.15">
      <c r="J206" s="593"/>
      <c r="M206" s="593"/>
      <c r="O206" s="593"/>
      <c r="S206" s="596"/>
    </row>
    <row r="207" spans="1:19" x14ac:dyDescent="0.15">
      <c r="J207" s="593"/>
      <c r="M207" s="593"/>
      <c r="O207" s="593"/>
      <c r="S207" s="596"/>
    </row>
    <row r="208" spans="1:19" x14ac:dyDescent="0.15">
      <c r="G208" s="578"/>
      <c r="S208" s="596"/>
    </row>
    <row r="209" spans="2:19" x14ac:dyDescent="0.15">
      <c r="G209" s="578"/>
      <c r="S209" s="596"/>
    </row>
    <row r="210" spans="2:19" ht="15" customHeight="1" x14ac:dyDescent="0.15">
      <c r="G210" s="578"/>
      <c r="S210" s="596"/>
    </row>
    <row r="211" spans="2:19" ht="15" customHeight="1" x14ac:dyDescent="0.15">
      <c r="G211" s="578"/>
      <c r="S211" s="596"/>
    </row>
    <row r="212" spans="2:19" ht="15" customHeight="1" x14ac:dyDescent="0.15">
      <c r="G212" s="578"/>
      <c r="S212" s="596"/>
    </row>
    <row r="213" spans="2:19" ht="15" customHeight="1" x14ac:dyDescent="0.15">
      <c r="G213" s="578"/>
      <c r="S213" s="596"/>
    </row>
    <row r="214" spans="2:19" ht="15" customHeight="1" x14ac:dyDescent="0.15">
      <c r="G214" s="578"/>
      <c r="S214" s="596"/>
    </row>
    <row r="215" spans="2:19" ht="15" customHeight="1" x14ac:dyDescent="0.15">
      <c r="G215" s="578"/>
      <c r="S215" s="596"/>
    </row>
    <row r="216" spans="2:19" ht="15" customHeight="1" x14ac:dyDescent="0.15">
      <c r="G216" s="578"/>
      <c r="S216" s="596"/>
    </row>
    <row r="217" spans="2:19" ht="15" customHeight="1" x14ac:dyDescent="0.15">
      <c r="B217" s="688"/>
      <c r="C217" s="688"/>
      <c r="D217" s="688"/>
      <c r="E217" s="688"/>
      <c r="F217" s="688"/>
      <c r="G217" s="688"/>
      <c r="S217" s="596"/>
    </row>
    <row r="218" spans="2:19" ht="15" customHeight="1" x14ac:dyDescent="0.15">
      <c r="S218" s="596"/>
    </row>
    <row r="219" spans="2:19" ht="15" customHeight="1" x14ac:dyDescent="0.15">
      <c r="S219" s="596"/>
    </row>
    <row r="220" spans="2:19" ht="15" customHeight="1" x14ac:dyDescent="0.15">
      <c r="S220" s="596"/>
    </row>
    <row r="221" spans="2:19" ht="15" customHeight="1" x14ac:dyDescent="0.15">
      <c r="S221" s="596"/>
    </row>
    <row r="222" spans="2:19" ht="15" customHeight="1" x14ac:dyDescent="0.15">
      <c r="S222" s="596"/>
    </row>
    <row r="223" spans="2:19" ht="15" customHeight="1" x14ac:dyDescent="0.15">
      <c r="S223" s="596"/>
    </row>
    <row r="224" spans="2:19" ht="15" customHeight="1" x14ac:dyDescent="0.15">
      <c r="S224" s="596"/>
    </row>
    <row r="225" spans="19:19" ht="15" customHeight="1" x14ac:dyDescent="0.15">
      <c r="S225" s="596"/>
    </row>
    <row r="226" spans="19:19" ht="15" customHeight="1" x14ac:dyDescent="0.15">
      <c r="S226" s="596"/>
    </row>
    <row r="227" spans="19:19" ht="15" customHeight="1" x14ac:dyDescent="0.15">
      <c r="S227" s="596"/>
    </row>
    <row r="228" spans="19:19" ht="15" customHeight="1" x14ac:dyDescent="0.15">
      <c r="S228" s="596"/>
    </row>
    <row r="229" spans="19:19" ht="15" customHeight="1" x14ac:dyDescent="0.15">
      <c r="S229" s="596"/>
    </row>
    <row r="230" spans="19:19" ht="15" customHeight="1" x14ac:dyDescent="0.15">
      <c r="S230" s="596"/>
    </row>
    <row r="231" spans="19:19" ht="15" customHeight="1" x14ac:dyDescent="0.15">
      <c r="S231" s="596"/>
    </row>
    <row r="232" spans="19:19" ht="15" customHeight="1" x14ac:dyDescent="0.15">
      <c r="S232" s="596"/>
    </row>
    <row r="233" spans="19:19" ht="15" customHeight="1" x14ac:dyDescent="0.15">
      <c r="S233" s="596"/>
    </row>
    <row r="234" spans="19:19" ht="15" customHeight="1" x14ac:dyDescent="0.15">
      <c r="S234" s="596"/>
    </row>
    <row r="235" spans="19:19" ht="15" customHeight="1" x14ac:dyDescent="0.15">
      <c r="S235" s="596"/>
    </row>
    <row r="236" spans="19:19" ht="15" customHeight="1" x14ac:dyDescent="0.15">
      <c r="S236" s="596"/>
    </row>
    <row r="237" spans="19:19" ht="15" customHeight="1" x14ac:dyDescent="0.15">
      <c r="S237" s="596"/>
    </row>
    <row r="238" spans="19:19" ht="15" customHeight="1" x14ac:dyDescent="0.15">
      <c r="S238" s="596"/>
    </row>
    <row r="239" spans="19:19" ht="15" customHeight="1" x14ac:dyDescent="0.15">
      <c r="S239" s="596"/>
    </row>
    <row r="240" spans="19:19" ht="15" customHeight="1" x14ac:dyDescent="0.15">
      <c r="S240" s="596"/>
    </row>
    <row r="241" spans="19:19" ht="15" customHeight="1" x14ac:dyDescent="0.15">
      <c r="S241" s="596"/>
    </row>
    <row r="242" spans="19:19" ht="15" customHeight="1" x14ac:dyDescent="0.15">
      <c r="S242" s="596"/>
    </row>
    <row r="243" spans="19:19" ht="15" customHeight="1" x14ac:dyDescent="0.15">
      <c r="S243" s="596"/>
    </row>
    <row r="244" spans="19:19" ht="15" customHeight="1" x14ac:dyDescent="0.15">
      <c r="S244" s="596"/>
    </row>
    <row r="245" spans="19:19" ht="15" customHeight="1" x14ac:dyDescent="0.15">
      <c r="S245" s="596"/>
    </row>
    <row r="246" spans="19:19" ht="15" customHeight="1" x14ac:dyDescent="0.15">
      <c r="S246" s="596"/>
    </row>
    <row r="247" spans="19:19" ht="15" customHeight="1" x14ac:dyDescent="0.15">
      <c r="S247" s="596"/>
    </row>
    <row r="248" spans="19:19" ht="15" customHeight="1" x14ac:dyDescent="0.15">
      <c r="S248" s="596"/>
    </row>
    <row r="249" spans="19:19" ht="15" customHeight="1" x14ac:dyDescent="0.15">
      <c r="S249" s="596"/>
    </row>
    <row r="250" spans="19:19" ht="15" customHeight="1" x14ac:dyDescent="0.15">
      <c r="S250" s="596"/>
    </row>
    <row r="251" spans="19:19" ht="15" customHeight="1" x14ac:dyDescent="0.15">
      <c r="S251" s="596"/>
    </row>
    <row r="252" spans="19:19" ht="15" customHeight="1" x14ac:dyDescent="0.15">
      <c r="S252" s="596"/>
    </row>
    <row r="253" spans="19:19" ht="15" customHeight="1" x14ac:dyDescent="0.15">
      <c r="S253" s="596"/>
    </row>
    <row r="254" spans="19:19" ht="15" customHeight="1" x14ac:dyDescent="0.15">
      <c r="S254" s="596"/>
    </row>
    <row r="255" spans="19:19" ht="15" customHeight="1" x14ac:dyDescent="0.15">
      <c r="S255" s="596"/>
    </row>
    <row r="256" spans="19:19" ht="15" customHeight="1" x14ac:dyDescent="0.15">
      <c r="S256" s="596"/>
    </row>
    <row r="257" spans="19:19" ht="15" customHeight="1" x14ac:dyDescent="0.15">
      <c r="S257" s="596"/>
    </row>
    <row r="258" spans="19:19" ht="15" customHeight="1" x14ac:dyDescent="0.15">
      <c r="S258" s="596"/>
    </row>
    <row r="259" spans="19:19" ht="15" customHeight="1" x14ac:dyDescent="0.15">
      <c r="S259" s="596"/>
    </row>
    <row r="260" spans="19:19" ht="15" customHeight="1" x14ac:dyDescent="0.15">
      <c r="S260" s="596"/>
    </row>
    <row r="261" spans="19:19" ht="15" customHeight="1" x14ac:dyDescent="0.15">
      <c r="S261" s="596"/>
    </row>
    <row r="262" spans="19:19" ht="15" customHeight="1" x14ac:dyDescent="0.15">
      <c r="S262" s="596"/>
    </row>
    <row r="263" spans="19:19" ht="15" customHeight="1" x14ac:dyDescent="0.15">
      <c r="S263" s="596"/>
    </row>
    <row r="264" spans="19:19" ht="15" customHeight="1" x14ac:dyDescent="0.15">
      <c r="S264" s="596"/>
    </row>
    <row r="265" spans="19:19" ht="15" customHeight="1" x14ac:dyDescent="0.15">
      <c r="S265" s="596"/>
    </row>
    <row r="266" spans="19:19" ht="15" customHeight="1" x14ac:dyDescent="0.15">
      <c r="S266" s="596"/>
    </row>
    <row r="267" spans="19:19" ht="15" customHeight="1" x14ac:dyDescent="0.15">
      <c r="S267" s="596"/>
    </row>
    <row r="268" spans="19:19" ht="15" customHeight="1" x14ac:dyDescent="0.15">
      <c r="S268" s="596"/>
    </row>
    <row r="269" spans="19:19" ht="15" customHeight="1" x14ac:dyDescent="0.15">
      <c r="S269" s="596"/>
    </row>
    <row r="270" spans="19:19" ht="15" customHeight="1" x14ac:dyDescent="0.15">
      <c r="S270" s="596"/>
    </row>
    <row r="271" spans="19:19" ht="15" customHeight="1" x14ac:dyDescent="0.15">
      <c r="S271" s="596"/>
    </row>
    <row r="273" spans="19:19" ht="15" customHeight="1" x14ac:dyDescent="0.15">
      <c r="S273" s="596"/>
    </row>
    <row r="274" spans="19:19" ht="15" customHeight="1" x14ac:dyDescent="0.15">
      <c r="S274" s="596"/>
    </row>
    <row r="275" spans="19:19" ht="15" customHeight="1" x14ac:dyDescent="0.15">
      <c r="S275" s="596"/>
    </row>
    <row r="276" spans="19:19" ht="15" customHeight="1" x14ac:dyDescent="0.15">
      <c r="S276" s="596"/>
    </row>
    <row r="277" spans="19:19" ht="15" customHeight="1" x14ac:dyDescent="0.15">
      <c r="S277" s="596"/>
    </row>
    <row r="278" spans="19:19" ht="15" customHeight="1" x14ac:dyDescent="0.15">
      <c r="S278" s="596"/>
    </row>
    <row r="279" spans="19:19" ht="15" customHeight="1" x14ac:dyDescent="0.15">
      <c r="S279" s="596"/>
    </row>
    <row r="280" spans="19:19" ht="15" customHeight="1" x14ac:dyDescent="0.15">
      <c r="S280" s="596"/>
    </row>
    <row r="281" spans="19:19" ht="15" customHeight="1" x14ac:dyDescent="0.15">
      <c r="S281" s="596"/>
    </row>
    <row r="282" spans="19:19" ht="15" customHeight="1" x14ac:dyDescent="0.15">
      <c r="S282" s="596"/>
    </row>
    <row r="283" spans="19:19" ht="15" customHeight="1" x14ac:dyDescent="0.15">
      <c r="S283" s="596"/>
    </row>
    <row r="284" spans="19:19" ht="15" customHeight="1" x14ac:dyDescent="0.15">
      <c r="S284" s="596"/>
    </row>
    <row r="285" spans="19:19" ht="15" customHeight="1" x14ac:dyDescent="0.15">
      <c r="S285" s="596"/>
    </row>
    <row r="286" spans="19:19" ht="15" customHeight="1" x14ac:dyDescent="0.15">
      <c r="S286" s="596"/>
    </row>
    <row r="287" spans="19:19" ht="15" customHeight="1" x14ac:dyDescent="0.15">
      <c r="S287" s="596"/>
    </row>
    <row r="288" spans="19:19" ht="15" customHeight="1" x14ac:dyDescent="0.15">
      <c r="S288" s="596"/>
    </row>
    <row r="289" spans="19:19" ht="15" customHeight="1" x14ac:dyDescent="0.15">
      <c r="S289" s="596"/>
    </row>
    <row r="290" spans="19:19" ht="15" customHeight="1" x14ac:dyDescent="0.15">
      <c r="S290" s="596"/>
    </row>
    <row r="291" spans="19:19" ht="15" customHeight="1" x14ac:dyDescent="0.15">
      <c r="S291" s="596"/>
    </row>
    <row r="292" spans="19:19" ht="15" customHeight="1" x14ac:dyDescent="0.15">
      <c r="S292" s="596"/>
    </row>
    <row r="293" spans="19:19" ht="15" customHeight="1" x14ac:dyDescent="0.15">
      <c r="S293" s="596"/>
    </row>
    <row r="294" spans="19:19" ht="15" customHeight="1" x14ac:dyDescent="0.15">
      <c r="S294" s="596"/>
    </row>
    <row r="295" spans="19:19" ht="15" customHeight="1" x14ac:dyDescent="0.15">
      <c r="S295" s="596"/>
    </row>
    <row r="296" spans="19:19" ht="15" customHeight="1" x14ac:dyDescent="0.15">
      <c r="S296" s="596"/>
    </row>
    <row r="297" spans="19:19" ht="15" customHeight="1" x14ac:dyDescent="0.15">
      <c r="S297" s="596"/>
    </row>
    <row r="298" spans="19:19" ht="15" customHeight="1" x14ac:dyDescent="0.15">
      <c r="S298" s="596"/>
    </row>
    <row r="299" spans="19:19" ht="15" customHeight="1" x14ac:dyDescent="0.15">
      <c r="S299" s="596"/>
    </row>
    <row r="300" spans="19:19" ht="15" customHeight="1" x14ac:dyDescent="0.15">
      <c r="S300" s="596"/>
    </row>
    <row r="301" spans="19:19" ht="15" customHeight="1" x14ac:dyDescent="0.15">
      <c r="S301" s="596"/>
    </row>
    <row r="302" spans="19:19" ht="15" customHeight="1" x14ac:dyDescent="0.15">
      <c r="S302" s="596"/>
    </row>
    <row r="303" spans="19:19" ht="15" customHeight="1" x14ac:dyDescent="0.15">
      <c r="S303" s="596"/>
    </row>
    <row r="304" spans="19:19" ht="15" customHeight="1" x14ac:dyDescent="0.15">
      <c r="S304" s="596"/>
    </row>
    <row r="305" spans="19:19" ht="15" customHeight="1" x14ac:dyDescent="0.15">
      <c r="S305" s="596"/>
    </row>
    <row r="306" spans="19:19" ht="15" customHeight="1" x14ac:dyDescent="0.15">
      <c r="S306" s="596"/>
    </row>
    <row r="307" spans="19:19" ht="15" customHeight="1" x14ac:dyDescent="0.15">
      <c r="S307" s="596"/>
    </row>
    <row r="308" spans="19:19" ht="15" customHeight="1" x14ac:dyDescent="0.15">
      <c r="S308" s="596"/>
    </row>
    <row r="309" spans="19:19" ht="15" customHeight="1" x14ac:dyDescent="0.15">
      <c r="S309" s="596"/>
    </row>
    <row r="310" spans="19:19" ht="15" customHeight="1" x14ac:dyDescent="0.15">
      <c r="S310" s="596"/>
    </row>
    <row r="400" spans="28:28" x14ac:dyDescent="0.15">
      <c r="AB400" t="s">
        <v>136</v>
      </c>
    </row>
    <row r="401" spans="28:28" x14ac:dyDescent="0.15">
      <c r="AB401" t="s">
        <v>137</v>
      </c>
    </row>
    <row r="402" spans="28:28" x14ac:dyDescent="0.15">
      <c r="AB402" t="s">
        <v>138</v>
      </c>
    </row>
    <row r="403" spans="28:28" x14ac:dyDescent="0.15">
      <c r="AB403" t="s">
        <v>139</v>
      </c>
    </row>
    <row r="404" spans="28:28" x14ac:dyDescent="0.15">
      <c r="AB404" t="s">
        <v>140</v>
      </c>
    </row>
    <row r="405" spans="28:28" x14ac:dyDescent="0.15">
      <c r="AB405" t="s">
        <v>141</v>
      </c>
    </row>
    <row r="406" spans="28:28" x14ac:dyDescent="0.15">
      <c r="AB406" t="s">
        <v>142</v>
      </c>
    </row>
    <row r="407" spans="28:28" x14ac:dyDescent="0.15">
      <c r="AB407" t="s">
        <v>143</v>
      </c>
    </row>
    <row r="408" spans="28:28" x14ac:dyDescent="0.15">
      <c r="AB408" t="s">
        <v>144</v>
      </c>
    </row>
    <row r="409" spans="28:28" x14ac:dyDescent="0.15">
      <c r="AB409" t="s">
        <v>145</v>
      </c>
    </row>
    <row r="410" spans="28:28" x14ac:dyDescent="0.15">
      <c r="AB410" t="s">
        <v>146</v>
      </c>
    </row>
    <row r="411" spans="28:28" x14ac:dyDescent="0.15">
      <c r="AB411" t="s">
        <v>147</v>
      </c>
    </row>
    <row r="412" spans="28:28" x14ac:dyDescent="0.15">
      <c r="AB412" t="s">
        <v>148</v>
      </c>
    </row>
    <row r="413" spans="28:28" x14ac:dyDescent="0.15">
      <c r="AB413" t="s">
        <v>149</v>
      </c>
    </row>
    <row r="414" spans="28:28" x14ac:dyDescent="0.15">
      <c r="AB414" t="s">
        <v>150</v>
      </c>
    </row>
    <row r="415" spans="28:28" x14ac:dyDescent="0.15">
      <c r="AB415" t="s">
        <v>151</v>
      </c>
    </row>
    <row r="416" spans="28:28" x14ac:dyDescent="0.15">
      <c r="AB416" t="s">
        <v>152</v>
      </c>
    </row>
    <row r="417" spans="28:28" x14ac:dyDescent="0.15">
      <c r="AB417" t="s">
        <v>153</v>
      </c>
    </row>
    <row r="418" spans="28:28" x14ac:dyDescent="0.15">
      <c r="AB418" t="s">
        <v>154</v>
      </c>
    </row>
    <row r="419" spans="28:28" x14ac:dyDescent="0.15">
      <c r="AB419" t="s">
        <v>155</v>
      </c>
    </row>
    <row r="420" spans="28:28" x14ac:dyDescent="0.15">
      <c r="AB420" t="s">
        <v>156</v>
      </c>
    </row>
    <row r="421" spans="28:28" x14ac:dyDescent="0.15">
      <c r="AB421" t="s">
        <v>157</v>
      </c>
    </row>
    <row r="422" spans="28:28" x14ac:dyDescent="0.15">
      <c r="AB422" t="s">
        <v>158</v>
      </c>
    </row>
    <row r="423" spans="28:28" x14ac:dyDescent="0.15">
      <c r="AB423" t="s">
        <v>159</v>
      </c>
    </row>
    <row r="424" spans="28:28" x14ac:dyDescent="0.15">
      <c r="AB424" t="s">
        <v>160</v>
      </c>
    </row>
    <row r="425" spans="28:28" x14ac:dyDescent="0.15">
      <c r="AB425" t="s">
        <v>161</v>
      </c>
    </row>
    <row r="426" spans="28:28" x14ac:dyDescent="0.15">
      <c r="AB426" t="s">
        <v>162</v>
      </c>
    </row>
    <row r="427" spans="28:28" x14ac:dyDescent="0.15">
      <c r="AB427" t="s">
        <v>163</v>
      </c>
    </row>
    <row r="428" spans="28:28" x14ac:dyDescent="0.15">
      <c r="AB428" t="s">
        <v>164</v>
      </c>
    </row>
    <row r="429" spans="28:28" x14ac:dyDescent="0.15">
      <c r="AB429" t="s">
        <v>165</v>
      </c>
    </row>
    <row r="430" spans="28:28" x14ac:dyDescent="0.15">
      <c r="AB430" t="s">
        <v>166</v>
      </c>
    </row>
    <row r="431" spans="28:28" x14ac:dyDescent="0.15">
      <c r="AB431" t="s">
        <v>167</v>
      </c>
    </row>
    <row r="432" spans="28:28" x14ac:dyDescent="0.15">
      <c r="AB432" t="s">
        <v>168</v>
      </c>
    </row>
    <row r="433" spans="28:28" x14ac:dyDescent="0.15">
      <c r="AB433" t="s">
        <v>169</v>
      </c>
    </row>
    <row r="434" spans="28:28" x14ac:dyDescent="0.15">
      <c r="AB434" t="s">
        <v>170</v>
      </c>
    </row>
    <row r="435" spans="28:28" x14ac:dyDescent="0.15">
      <c r="AB435" t="s">
        <v>171</v>
      </c>
    </row>
    <row r="436" spans="28:28" x14ac:dyDescent="0.15">
      <c r="AB436" t="s">
        <v>172</v>
      </c>
    </row>
    <row r="437" spans="28:28" x14ac:dyDescent="0.15">
      <c r="AB437" t="s">
        <v>173</v>
      </c>
    </row>
    <row r="438" spans="28:28" x14ac:dyDescent="0.15">
      <c r="AB438" t="s">
        <v>174</v>
      </c>
    </row>
    <row r="439" spans="28:28" x14ac:dyDescent="0.15">
      <c r="AB439" t="s">
        <v>175</v>
      </c>
    </row>
    <row r="440" spans="28:28" x14ac:dyDescent="0.15">
      <c r="AB440" t="s">
        <v>176</v>
      </c>
    </row>
    <row r="441" spans="28:28" x14ac:dyDescent="0.15">
      <c r="AB441" t="s">
        <v>177</v>
      </c>
    </row>
    <row r="442" spans="28:28" x14ac:dyDescent="0.15">
      <c r="AB442" t="s">
        <v>178</v>
      </c>
    </row>
    <row r="443" spans="28:28" x14ac:dyDescent="0.15">
      <c r="AB443" t="s">
        <v>179</v>
      </c>
    </row>
    <row r="444" spans="28:28" x14ac:dyDescent="0.15">
      <c r="AB444" t="s">
        <v>180</v>
      </c>
    </row>
    <row r="445" spans="28:28" x14ac:dyDescent="0.15">
      <c r="AB445" t="s">
        <v>181</v>
      </c>
    </row>
    <row r="446" spans="28:28" x14ac:dyDescent="0.15">
      <c r="AB446" t="s">
        <v>182</v>
      </c>
    </row>
    <row r="447" spans="28:28" x14ac:dyDescent="0.15">
      <c r="AB447" t="s">
        <v>183</v>
      </c>
    </row>
    <row r="448" spans="28:28" x14ac:dyDescent="0.15">
      <c r="AB448" t="s">
        <v>184</v>
      </c>
    </row>
    <row r="449" spans="28:28" x14ac:dyDescent="0.15">
      <c r="AB449" t="s">
        <v>185</v>
      </c>
    </row>
    <row r="450" spans="28:28" x14ac:dyDescent="0.15">
      <c r="AB450" t="s">
        <v>186</v>
      </c>
    </row>
    <row r="451" spans="28:28" x14ac:dyDescent="0.15">
      <c r="AB451" t="s">
        <v>187</v>
      </c>
    </row>
    <row r="452" spans="28:28" x14ac:dyDescent="0.15">
      <c r="AB452" t="s">
        <v>188</v>
      </c>
    </row>
    <row r="453" spans="28:28" x14ac:dyDescent="0.15">
      <c r="AB453" t="s">
        <v>189</v>
      </c>
    </row>
    <row r="454" spans="28:28" x14ac:dyDescent="0.15">
      <c r="AB454" t="s">
        <v>190</v>
      </c>
    </row>
    <row r="455" spans="28:28" x14ac:dyDescent="0.15">
      <c r="AB455" t="s">
        <v>191</v>
      </c>
    </row>
    <row r="456" spans="28:28" x14ac:dyDescent="0.15">
      <c r="AB456" t="s">
        <v>192</v>
      </c>
    </row>
    <row r="457" spans="28:28" x14ac:dyDescent="0.15">
      <c r="AB457" t="s">
        <v>193</v>
      </c>
    </row>
    <row r="458" spans="28:28" x14ac:dyDescent="0.15">
      <c r="AB458" t="s">
        <v>194</v>
      </c>
    </row>
    <row r="459" spans="28:28" x14ac:dyDescent="0.15">
      <c r="AB459" t="s">
        <v>195</v>
      </c>
    </row>
    <row r="460" spans="28:28" x14ac:dyDescent="0.15">
      <c r="AB460" t="s">
        <v>196</v>
      </c>
    </row>
    <row r="461" spans="28:28" x14ac:dyDescent="0.15">
      <c r="AB461" t="s">
        <v>197</v>
      </c>
    </row>
    <row r="462" spans="28:28" x14ac:dyDescent="0.15">
      <c r="AB462" t="s">
        <v>198</v>
      </c>
    </row>
    <row r="463" spans="28:28" x14ac:dyDescent="0.15">
      <c r="AB463" t="s">
        <v>199</v>
      </c>
    </row>
    <row r="464" spans="28:28" x14ac:dyDescent="0.15">
      <c r="AB464" t="s">
        <v>200</v>
      </c>
    </row>
    <row r="465" spans="28:28" x14ac:dyDescent="0.15">
      <c r="AB465" t="s">
        <v>201</v>
      </c>
    </row>
    <row r="466" spans="28:28" x14ac:dyDescent="0.15">
      <c r="AB466" t="s">
        <v>202</v>
      </c>
    </row>
    <row r="467" spans="28:28" x14ac:dyDescent="0.15">
      <c r="AB467" t="s">
        <v>203</v>
      </c>
    </row>
    <row r="468" spans="28:28" x14ac:dyDescent="0.15">
      <c r="AB468" t="s">
        <v>204</v>
      </c>
    </row>
    <row r="469" spans="28:28" x14ac:dyDescent="0.15">
      <c r="AB469" t="s">
        <v>205</v>
      </c>
    </row>
    <row r="470" spans="28:28" x14ac:dyDescent="0.15">
      <c r="AB470" t="s">
        <v>206</v>
      </c>
    </row>
    <row r="471" spans="28:28" x14ac:dyDescent="0.15">
      <c r="AB471" t="s">
        <v>207</v>
      </c>
    </row>
    <row r="472" spans="28:28" x14ac:dyDescent="0.15">
      <c r="AB472" t="s">
        <v>208</v>
      </c>
    </row>
    <row r="473" spans="28:28" x14ac:dyDescent="0.15">
      <c r="AB473" t="s">
        <v>209</v>
      </c>
    </row>
    <row r="474" spans="28:28" x14ac:dyDescent="0.15">
      <c r="AB474" t="s">
        <v>210</v>
      </c>
    </row>
    <row r="475" spans="28:28" x14ac:dyDescent="0.15">
      <c r="AB475" t="s">
        <v>211</v>
      </c>
    </row>
    <row r="476" spans="28:28" x14ac:dyDescent="0.15">
      <c r="AB476" t="s">
        <v>212</v>
      </c>
    </row>
    <row r="477" spans="28:28" x14ac:dyDescent="0.15">
      <c r="AB477" t="s">
        <v>213</v>
      </c>
    </row>
    <row r="478" spans="28:28" x14ac:dyDescent="0.15">
      <c r="AB478" t="s">
        <v>214</v>
      </c>
    </row>
    <row r="479" spans="28:28" x14ac:dyDescent="0.15">
      <c r="AB479" t="s">
        <v>215</v>
      </c>
    </row>
    <row r="480" spans="28:28" x14ac:dyDescent="0.15">
      <c r="AB480" t="s">
        <v>216</v>
      </c>
    </row>
    <row r="481" spans="28:28" x14ac:dyDescent="0.15">
      <c r="AB481" t="s">
        <v>217</v>
      </c>
    </row>
    <row r="482" spans="28:28" x14ac:dyDescent="0.15">
      <c r="AB482" t="s">
        <v>218</v>
      </c>
    </row>
    <row r="483" spans="28:28" x14ac:dyDescent="0.15">
      <c r="AB483" t="s">
        <v>219</v>
      </c>
    </row>
    <row r="484" spans="28:28" x14ac:dyDescent="0.15">
      <c r="AB484" t="s">
        <v>220</v>
      </c>
    </row>
    <row r="485" spans="28:28" x14ac:dyDescent="0.15">
      <c r="AB485" t="s">
        <v>221</v>
      </c>
    </row>
    <row r="486" spans="28:28" x14ac:dyDescent="0.15">
      <c r="AB486" t="s">
        <v>222</v>
      </c>
    </row>
    <row r="487" spans="28:28" x14ac:dyDescent="0.15">
      <c r="AB487" t="s">
        <v>223</v>
      </c>
    </row>
    <row r="488" spans="28:28" x14ac:dyDescent="0.15">
      <c r="AB488" t="s">
        <v>224</v>
      </c>
    </row>
    <row r="489" spans="28:28" x14ac:dyDescent="0.15">
      <c r="AB489" t="s">
        <v>225</v>
      </c>
    </row>
    <row r="490" spans="28:28" x14ac:dyDescent="0.15">
      <c r="AB490" t="s">
        <v>226</v>
      </c>
    </row>
    <row r="491" spans="28:28" x14ac:dyDescent="0.15">
      <c r="AB491" t="s">
        <v>227</v>
      </c>
    </row>
    <row r="492" spans="28:28" x14ac:dyDescent="0.15">
      <c r="AB492" t="s">
        <v>228</v>
      </c>
    </row>
    <row r="493" spans="28:28" x14ac:dyDescent="0.15">
      <c r="AB493" t="s">
        <v>229</v>
      </c>
    </row>
    <row r="494" spans="28:28" x14ac:dyDescent="0.15">
      <c r="AB494" t="s">
        <v>230</v>
      </c>
    </row>
    <row r="495" spans="28:28" x14ac:dyDescent="0.15">
      <c r="AB495" t="s">
        <v>231</v>
      </c>
    </row>
    <row r="496" spans="28:28" x14ac:dyDescent="0.15">
      <c r="AB496" t="s">
        <v>232</v>
      </c>
    </row>
    <row r="497" spans="27:28" x14ac:dyDescent="0.15">
      <c r="AB497" t="s">
        <v>233</v>
      </c>
    </row>
    <row r="498" spans="27:28" x14ac:dyDescent="0.15">
      <c r="AB498" t="s">
        <v>234</v>
      </c>
    </row>
    <row r="499" spans="27:28" x14ac:dyDescent="0.15">
      <c r="AB499" t="s">
        <v>235</v>
      </c>
    </row>
    <row r="500" spans="27:28" x14ac:dyDescent="0.15">
      <c r="AA500" t="s">
        <v>345</v>
      </c>
      <c r="AB500" t="s">
        <v>236</v>
      </c>
    </row>
    <row r="501" spans="27:28" x14ac:dyDescent="0.15">
      <c r="AA501" t="s">
        <v>346</v>
      </c>
      <c r="AB501" t="s">
        <v>237</v>
      </c>
    </row>
    <row r="502" spans="27:28" x14ac:dyDescent="0.15">
      <c r="AA502" t="s">
        <v>347</v>
      </c>
      <c r="AB502" t="s">
        <v>238</v>
      </c>
    </row>
    <row r="503" spans="27:28" x14ac:dyDescent="0.15">
      <c r="AA503" t="s">
        <v>348</v>
      </c>
      <c r="AB503" t="s">
        <v>239</v>
      </c>
    </row>
    <row r="504" spans="27:28" x14ac:dyDescent="0.15">
      <c r="AA504" t="s">
        <v>349</v>
      </c>
      <c r="AB504" t="s">
        <v>240</v>
      </c>
    </row>
    <row r="505" spans="27:28" x14ac:dyDescent="0.15">
      <c r="AA505" t="s">
        <v>350</v>
      </c>
      <c r="AB505" t="s">
        <v>241</v>
      </c>
    </row>
    <row r="506" spans="27:28" x14ac:dyDescent="0.15">
      <c r="AA506" t="s">
        <v>351</v>
      </c>
      <c r="AB506" t="s">
        <v>242</v>
      </c>
    </row>
    <row r="507" spans="27:28" x14ac:dyDescent="0.15">
      <c r="AA507" t="s">
        <v>352</v>
      </c>
      <c r="AB507" t="s">
        <v>243</v>
      </c>
    </row>
    <row r="508" spans="27:28" x14ac:dyDescent="0.15">
      <c r="AA508" t="s">
        <v>353</v>
      </c>
      <c r="AB508" t="s">
        <v>244</v>
      </c>
    </row>
    <row r="509" spans="27:28" x14ac:dyDescent="0.15">
      <c r="AA509" t="s">
        <v>354</v>
      </c>
      <c r="AB509" t="s">
        <v>245</v>
      </c>
    </row>
    <row r="510" spans="27:28" x14ac:dyDescent="0.15">
      <c r="AA510" t="s">
        <v>355</v>
      </c>
      <c r="AB510" t="s">
        <v>246</v>
      </c>
    </row>
    <row r="511" spans="27:28" x14ac:dyDescent="0.15">
      <c r="AA511" t="s">
        <v>356</v>
      </c>
      <c r="AB511" t="s">
        <v>247</v>
      </c>
    </row>
    <row r="512" spans="27:28" x14ac:dyDescent="0.15">
      <c r="AA512" t="s">
        <v>357</v>
      </c>
      <c r="AB512" t="s">
        <v>248</v>
      </c>
    </row>
    <row r="513" spans="27:28" x14ac:dyDescent="0.15">
      <c r="AA513" t="s">
        <v>358</v>
      </c>
      <c r="AB513" t="s">
        <v>249</v>
      </c>
    </row>
    <row r="514" spans="27:28" x14ac:dyDescent="0.15">
      <c r="AA514" t="s">
        <v>359</v>
      </c>
      <c r="AB514" t="s">
        <v>250</v>
      </c>
    </row>
    <row r="515" spans="27:28" x14ac:dyDescent="0.15">
      <c r="AA515" t="s">
        <v>360</v>
      </c>
      <c r="AB515" t="s">
        <v>251</v>
      </c>
    </row>
    <row r="516" spans="27:28" x14ac:dyDescent="0.15">
      <c r="AA516" t="s">
        <v>361</v>
      </c>
      <c r="AB516" t="s">
        <v>252</v>
      </c>
    </row>
    <row r="517" spans="27:28" x14ac:dyDescent="0.15">
      <c r="AA517" t="s">
        <v>362</v>
      </c>
      <c r="AB517" t="s">
        <v>253</v>
      </c>
    </row>
    <row r="518" spans="27:28" x14ac:dyDescent="0.15">
      <c r="AA518" t="s">
        <v>363</v>
      </c>
      <c r="AB518" t="s">
        <v>254</v>
      </c>
    </row>
    <row r="519" spans="27:28" x14ac:dyDescent="0.15">
      <c r="AA519" t="s">
        <v>364</v>
      </c>
      <c r="AB519" t="s">
        <v>255</v>
      </c>
    </row>
    <row r="520" spans="27:28" x14ac:dyDescent="0.15">
      <c r="AA520" t="s">
        <v>365</v>
      </c>
      <c r="AB520" t="s">
        <v>256</v>
      </c>
    </row>
    <row r="521" spans="27:28" x14ac:dyDescent="0.15">
      <c r="AB521" t="s">
        <v>257</v>
      </c>
    </row>
    <row r="522" spans="27:28" x14ac:dyDescent="0.15">
      <c r="AB522" t="s">
        <v>258</v>
      </c>
    </row>
    <row r="523" spans="27:28" x14ac:dyDescent="0.15">
      <c r="AB523" t="s">
        <v>259</v>
      </c>
    </row>
    <row r="524" spans="27:28" x14ac:dyDescent="0.15">
      <c r="AB524" t="s">
        <v>260</v>
      </c>
    </row>
    <row r="525" spans="27:28" x14ac:dyDescent="0.15">
      <c r="AB525" t="s">
        <v>261</v>
      </c>
    </row>
    <row r="526" spans="27:28" x14ac:dyDescent="0.15">
      <c r="AB526" t="s">
        <v>262</v>
      </c>
    </row>
    <row r="527" spans="27:28" x14ac:dyDescent="0.15">
      <c r="AB527" t="s">
        <v>263</v>
      </c>
    </row>
    <row r="528" spans="27:28" x14ac:dyDescent="0.15">
      <c r="AB528" t="s">
        <v>264</v>
      </c>
    </row>
    <row r="529" spans="28:28" x14ac:dyDescent="0.15">
      <c r="AB529" t="s">
        <v>265</v>
      </c>
    </row>
    <row r="530" spans="28:28" x14ac:dyDescent="0.15">
      <c r="AB530" t="s">
        <v>266</v>
      </c>
    </row>
    <row r="531" spans="28:28" x14ac:dyDescent="0.15">
      <c r="AB531" t="s">
        <v>267</v>
      </c>
    </row>
    <row r="532" spans="28:28" x14ac:dyDescent="0.15">
      <c r="AB532" t="s">
        <v>268</v>
      </c>
    </row>
    <row r="533" spans="28:28" x14ac:dyDescent="0.15">
      <c r="AB533" t="s">
        <v>269</v>
      </c>
    </row>
    <row r="534" spans="28:28" x14ac:dyDescent="0.15">
      <c r="AB534" t="s">
        <v>270</v>
      </c>
    </row>
    <row r="535" spans="28:28" x14ac:dyDescent="0.15">
      <c r="AB535" t="s">
        <v>271</v>
      </c>
    </row>
    <row r="536" spans="28:28" x14ac:dyDescent="0.15">
      <c r="AB536" t="s">
        <v>272</v>
      </c>
    </row>
    <row r="537" spans="28:28" x14ac:dyDescent="0.15">
      <c r="AB537" t="s">
        <v>273</v>
      </c>
    </row>
    <row r="538" spans="28:28" x14ac:dyDescent="0.15">
      <c r="AB538" t="s">
        <v>274</v>
      </c>
    </row>
    <row r="539" spans="28:28" x14ac:dyDescent="0.15">
      <c r="AB539" t="s">
        <v>275</v>
      </c>
    </row>
    <row r="540" spans="28:28" x14ac:dyDescent="0.15">
      <c r="AB540" t="s">
        <v>90</v>
      </c>
    </row>
    <row r="541" spans="28:28" x14ac:dyDescent="0.15">
      <c r="AB541" t="s">
        <v>276</v>
      </c>
    </row>
    <row r="542" spans="28:28" x14ac:dyDescent="0.15">
      <c r="AB542" t="s">
        <v>277</v>
      </c>
    </row>
    <row r="543" spans="28:28" x14ac:dyDescent="0.15">
      <c r="AB543" t="s">
        <v>278</v>
      </c>
    </row>
    <row r="544" spans="28:28" x14ac:dyDescent="0.15">
      <c r="AB544" t="s">
        <v>279</v>
      </c>
    </row>
    <row r="545" spans="28:28" x14ac:dyDescent="0.15">
      <c r="AB545" t="s">
        <v>280</v>
      </c>
    </row>
    <row r="546" spans="28:28" x14ac:dyDescent="0.15">
      <c r="AB546" t="s">
        <v>281</v>
      </c>
    </row>
    <row r="547" spans="28:28" x14ac:dyDescent="0.15">
      <c r="AB547" t="s">
        <v>282</v>
      </c>
    </row>
    <row r="548" spans="28:28" x14ac:dyDescent="0.15">
      <c r="AB548" t="s">
        <v>283</v>
      </c>
    </row>
    <row r="549" spans="28:28" x14ac:dyDescent="0.15">
      <c r="AB549" t="s">
        <v>284</v>
      </c>
    </row>
    <row r="550" spans="28:28" x14ac:dyDescent="0.15">
      <c r="AB550" t="s">
        <v>285</v>
      </c>
    </row>
    <row r="551" spans="28:28" x14ac:dyDescent="0.15">
      <c r="AB551" t="s">
        <v>286</v>
      </c>
    </row>
    <row r="552" spans="28:28" x14ac:dyDescent="0.15">
      <c r="AB552" t="s">
        <v>287</v>
      </c>
    </row>
    <row r="553" spans="28:28" x14ac:dyDescent="0.15">
      <c r="AB553" t="s">
        <v>288</v>
      </c>
    </row>
    <row r="554" spans="28:28" x14ac:dyDescent="0.15">
      <c r="AB554" t="s">
        <v>289</v>
      </c>
    </row>
    <row r="555" spans="28:28" x14ac:dyDescent="0.15">
      <c r="AB555" t="s">
        <v>290</v>
      </c>
    </row>
    <row r="556" spans="28:28" x14ac:dyDescent="0.15">
      <c r="AB556" t="s">
        <v>291</v>
      </c>
    </row>
    <row r="557" spans="28:28" x14ac:dyDescent="0.15">
      <c r="AB557" t="s">
        <v>292</v>
      </c>
    </row>
    <row r="558" spans="28:28" x14ac:dyDescent="0.15">
      <c r="AB558" t="s">
        <v>293</v>
      </c>
    </row>
    <row r="559" spans="28:28" x14ac:dyDescent="0.15">
      <c r="AB559" t="s">
        <v>294</v>
      </c>
    </row>
    <row r="560" spans="28:28" x14ac:dyDescent="0.15">
      <c r="AB560" t="s">
        <v>295</v>
      </c>
    </row>
    <row r="561" spans="28:28" x14ac:dyDescent="0.15">
      <c r="AB561" t="s">
        <v>296</v>
      </c>
    </row>
    <row r="562" spans="28:28" x14ac:dyDescent="0.15">
      <c r="AB562" t="s">
        <v>297</v>
      </c>
    </row>
    <row r="563" spans="28:28" x14ac:dyDescent="0.15">
      <c r="AB563" t="s">
        <v>298</v>
      </c>
    </row>
    <row r="564" spans="28:28" x14ac:dyDescent="0.15">
      <c r="AB564" t="s">
        <v>299</v>
      </c>
    </row>
    <row r="565" spans="28:28" x14ac:dyDescent="0.15">
      <c r="AB565" t="s">
        <v>300</v>
      </c>
    </row>
    <row r="566" spans="28:28" x14ac:dyDescent="0.15">
      <c r="AB566" t="s">
        <v>301</v>
      </c>
    </row>
    <row r="567" spans="28:28" x14ac:dyDescent="0.15">
      <c r="AB567" t="s">
        <v>302</v>
      </c>
    </row>
    <row r="568" spans="28:28" x14ac:dyDescent="0.15">
      <c r="AB568" t="s">
        <v>303</v>
      </c>
    </row>
    <row r="569" spans="28:28" x14ac:dyDescent="0.15">
      <c r="AB569" t="s">
        <v>304</v>
      </c>
    </row>
    <row r="570" spans="28:28" x14ac:dyDescent="0.15">
      <c r="AB570" t="s">
        <v>305</v>
      </c>
    </row>
    <row r="571" spans="28:28" x14ac:dyDescent="0.15">
      <c r="AB571" t="s">
        <v>306</v>
      </c>
    </row>
    <row r="572" spans="28:28" x14ac:dyDescent="0.15">
      <c r="AB572" t="s">
        <v>307</v>
      </c>
    </row>
    <row r="573" spans="28:28" x14ac:dyDescent="0.15">
      <c r="AB573" t="s">
        <v>308</v>
      </c>
    </row>
    <row r="574" spans="28:28" x14ac:dyDescent="0.15">
      <c r="AB574" t="s">
        <v>309</v>
      </c>
    </row>
    <row r="575" spans="28:28" x14ac:dyDescent="0.15">
      <c r="AB575" t="s">
        <v>310</v>
      </c>
    </row>
    <row r="576" spans="28:28" x14ac:dyDescent="0.15">
      <c r="AB576" t="s">
        <v>311</v>
      </c>
    </row>
    <row r="577" spans="28:28" x14ac:dyDescent="0.15">
      <c r="AB577" t="s">
        <v>312</v>
      </c>
    </row>
    <row r="578" spans="28:28" x14ac:dyDescent="0.15">
      <c r="AB578" t="s">
        <v>313</v>
      </c>
    </row>
    <row r="579" spans="28:28" x14ac:dyDescent="0.15">
      <c r="AB579" t="s">
        <v>314</v>
      </c>
    </row>
    <row r="580" spans="28:28" x14ac:dyDescent="0.15">
      <c r="AB580" t="s">
        <v>315</v>
      </c>
    </row>
    <row r="581" spans="28:28" x14ac:dyDescent="0.15">
      <c r="AB581" t="s">
        <v>316</v>
      </c>
    </row>
    <row r="582" spans="28:28" x14ac:dyDescent="0.15">
      <c r="AB582" t="s">
        <v>317</v>
      </c>
    </row>
    <row r="583" spans="28:28" x14ac:dyDescent="0.15">
      <c r="AB583" t="s">
        <v>318</v>
      </c>
    </row>
    <row r="584" spans="28:28" x14ac:dyDescent="0.15">
      <c r="AB584" t="s">
        <v>319</v>
      </c>
    </row>
    <row r="585" spans="28:28" x14ac:dyDescent="0.15">
      <c r="AB585" t="s">
        <v>320</v>
      </c>
    </row>
    <row r="586" spans="28:28" x14ac:dyDescent="0.15">
      <c r="AB586" t="s">
        <v>321</v>
      </c>
    </row>
    <row r="587" spans="28:28" x14ac:dyDescent="0.15">
      <c r="AB587" t="s">
        <v>322</v>
      </c>
    </row>
    <row r="588" spans="28:28" x14ac:dyDescent="0.15">
      <c r="AB588" t="s">
        <v>323</v>
      </c>
    </row>
    <row r="589" spans="28:28" x14ac:dyDescent="0.15">
      <c r="AB589" t="s">
        <v>324</v>
      </c>
    </row>
    <row r="590" spans="28:28" x14ac:dyDescent="0.15">
      <c r="AB590" t="s">
        <v>325</v>
      </c>
    </row>
    <row r="591" spans="28:28" x14ac:dyDescent="0.15">
      <c r="AB591" t="s">
        <v>326</v>
      </c>
    </row>
    <row r="592" spans="28:28" x14ac:dyDescent="0.15">
      <c r="AB592" t="s">
        <v>327</v>
      </c>
    </row>
  </sheetData>
  <mergeCells count="71">
    <mergeCell ref="C5:D5"/>
    <mergeCell ref="E185:F185"/>
    <mergeCell ref="D197:F197"/>
    <mergeCell ref="B182:G182"/>
    <mergeCell ref="H55:I55"/>
    <mergeCell ref="H40:I40"/>
    <mergeCell ref="H74:I74"/>
    <mergeCell ref="H176:I176"/>
    <mergeCell ref="H56:I56"/>
    <mergeCell ref="E35:F35"/>
    <mergeCell ref="H39:I39"/>
    <mergeCell ref="E87:F87"/>
    <mergeCell ref="H91:I91"/>
    <mergeCell ref="G190:I190"/>
    <mergeCell ref="E121:F121"/>
    <mergeCell ref="D189:F189"/>
    <mergeCell ref="G9:J9"/>
    <mergeCell ref="H21:I21"/>
    <mergeCell ref="H157:I157"/>
    <mergeCell ref="H73:I73"/>
    <mergeCell ref="D195:E195"/>
    <mergeCell ref="D193:F193"/>
    <mergeCell ref="E138:F138"/>
    <mergeCell ref="H38:I38"/>
    <mergeCell ref="D194:F194"/>
    <mergeCell ref="G186:I186"/>
    <mergeCell ref="H125:I125"/>
    <mergeCell ref="E53:F53"/>
    <mergeCell ref="H141:I141"/>
    <mergeCell ref="H23:I23"/>
    <mergeCell ref="E155:F155"/>
    <mergeCell ref="H89:I89"/>
    <mergeCell ref="H123:I123"/>
    <mergeCell ref="B200:O200"/>
    <mergeCell ref="B203:O203"/>
    <mergeCell ref="B202:O202"/>
    <mergeCell ref="E183:F183"/>
    <mergeCell ref="H124:I124"/>
    <mergeCell ref="B201:O201"/>
    <mergeCell ref="B1:C1"/>
    <mergeCell ref="E9:F9"/>
    <mergeCell ref="H108:I108"/>
    <mergeCell ref="E186:F186"/>
    <mergeCell ref="H175:I175"/>
    <mergeCell ref="G183:I183"/>
    <mergeCell ref="E104:F104"/>
    <mergeCell ref="H72:I72"/>
    <mergeCell ref="H174:I174"/>
    <mergeCell ref="H90:I90"/>
    <mergeCell ref="G3:J3"/>
    <mergeCell ref="E184:F184"/>
    <mergeCell ref="H107:I107"/>
    <mergeCell ref="C3:D3"/>
    <mergeCell ref="G5:J5"/>
    <mergeCell ref="H106:I106"/>
    <mergeCell ref="B205:O205"/>
    <mergeCell ref="H57:I57"/>
    <mergeCell ref="E36:F36"/>
    <mergeCell ref="H159:I159"/>
    <mergeCell ref="G7:J7"/>
    <mergeCell ref="H22:I22"/>
    <mergeCell ref="E70:F70"/>
    <mergeCell ref="H140:I140"/>
    <mergeCell ref="H158:I158"/>
    <mergeCell ref="D196:E196"/>
    <mergeCell ref="D190:F190"/>
    <mergeCell ref="E172:F172"/>
    <mergeCell ref="C7:D7"/>
    <mergeCell ref="B204:O204"/>
    <mergeCell ref="E19:F19"/>
    <mergeCell ref="H142:I142"/>
  </mergeCells>
  <conditionalFormatting sqref="B9">
    <cfRule type="expression" dxfId="5181" priority="666">
      <formula>B9="CURRENCY"</formula>
    </cfRule>
    <cfRule type="containsText" dxfId="5180" priority="665" operator="containsText" text="SELECT">
      <formula>NOT(ISERROR(SEARCH("SELECT",B9)))</formula>
    </cfRule>
  </conditionalFormatting>
  <conditionalFormatting sqref="B11">
    <cfRule type="expression" dxfId="5179" priority="627">
      <formula>$B11&lt;&gt;""</formula>
    </cfRule>
  </conditionalFormatting>
  <conditionalFormatting sqref="B14:B23">
    <cfRule type="expression" dxfId="5178" priority="619">
      <formula>$J14&gt;0</formula>
    </cfRule>
  </conditionalFormatting>
  <conditionalFormatting sqref="B24">
    <cfRule type="expression" dxfId="5177" priority="617">
      <formula>($D14="CANOPY TYPE")</formula>
    </cfRule>
    <cfRule type="expression" dxfId="5176" priority="616">
      <formula>ISNUMBER(SEARCH("UV",$D14))</formula>
    </cfRule>
  </conditionalFormatting>
  <conditionalFormatting sqref="B25:B27">
    <cfRule type="expression" dxfId="5175" priority="437">
      <formula>$J25&gt;0</formula>
    </cfRule>
  </conditionalFormatting>
  <conditionalFormatting sqref="B28">
    <cfRule type="expression" dxfId="5174" priority="625">
      <formula>$B28&lt;&gt;""</formula>
    </cfRule>
  </conditionalFormatting>
  <conditionalFormatting sqref="B31:B40">
    <cfRule type="expression" dxfId="5173" priority="263">
      <formula>$J31&gt;0</formula>
    </cfRule>
  </conditionalFormatting>
  <conditionalFormatting sqref="B41">
    <cfRule type="expression" dxfId="5172" priority="585">
      <formula>ISNUMBER(SEARCH("UV",$D31))</formula>
    </cfRule>
    <cfRule type="expression" dxfId="5171" priority="586">
      <formula>($D31="CANOPY TYPE")</formula>
    </cfRule>
  </conditionalFormatting>
  <conditionalFormatting sqref="B42:B44">
    <cfRule type="expression" dxfId="5170" priority="587">
      <formula>$J42&gt;0</formula>
    </cfRule>
  </conditionalFormatting>
  <conditionalFormatting sqref="B45">
    <cfRule type="expression" dxfId="5169" priority="624">
      <formula>$B45&lt;&gt;""</formula>
    </cfRule>
  </conditionalFormatting>
  <conditionalFormatting sqref="B48:B57">
    <cfRule type="expression" dxfId="5168" priority="252">
      <formula>$J48&gt;0</formula>
    </cfRule>
  </conditionalFormatting>
  <conditionalFormatting sqref="B58">
    <cfRule type="expression" dxfId="5167" priority="557">
      <formula>($D48="CANOPY TYPE")</formula>
    </cfRule>
    <cfRule type="expression" dxfId="5166" priority="556">
      <formula>ISNUMBER(SEARCH("UV",$D48))</formula>
    </cfRule>
  </conditionalFormatting>
  <conditionalFormatting sqref="B59:B61">
    <cfRule type="expression" dxfId="5165" priority="436">
      <formula>$J59&gt;0</formula>
    </cfRule>
  </conditionalFormatting>
  <conditionalFormatting sqref="B62">
    <cfRule type="expression" dxfId="5164" priority="623">
      <formula>$B62&lt;&gt;""</formula>
    </cfRule>
  </conditionalFormatting>
  <conditionalFormatting sqref="B65:B74">
    <cfRule type="expression" dxfId="5163" priority="241">
      <formula>$J65&gt;0</formula>
    </cfRule>
  </conditionalFormatting>
  <conditionalFormatting sqref="B75">
    <cfRule type="expression" dxfId="5162" priority="527">
      <formula>($D65="CANOPY TYPE")</formula>
    </cfRule>
    <cfRule type="expression" dxfId="5161" priority="526">
      <formula>ISNUMBER(SEARCH("UV",$D65))</formula>
    </cfRule>
  </conditionalFormatting>
  <conditionalFormatting sqref="B76:B78">
    <cfRule type="expression" dxfId="5160" priority="435">
      <formula>$J76&gt;0</formula>
    </cfRule>
  </conditionalFormatting>
  <conditionalFormatting sqref="B79">
    <cfRule type="expression" dxfId="5159" priority="622">
      <formula>$B79&lt;&gt;""</formula>
    </cfRule>
  </conditionalFormatting>
  <conditionalFormatting sqref="B82:B91">
    <cfRule type="expression" dxfId="5158" priority="230">
      <formula>$J82&gt;0</formula>
    </cfRule>
  </conditionalFormatting>
  <conditionalFormatting sqref="B92">
    <cfRule type="expression" dxfId="5157" priority="495">
      <formula>ISNUMBER(SEARCH("UV",$D82))</formula>
    </cfRule>
    <cfRule type="expression" dxfId="5156" priority="496">
      <formula>($D82="CANOPY TYPE")</formula>
    </cfRule>
  </conditionalFormatting>
  <conditionalFormatting sqref="B93:B95">
    <cfRule type="expression" dxfId="5155" priority="434">
      <formula>$J93&gt;0</formula>
    </cfRule>
  </conditionalFormatting>
  <conditionalFormatting sqref="B96">
    <cfRule type="expression" dxfId="5154" priority="621">
      <formula>$B96&lt;&gt;""</formula>
    </cfRule>
  </conditionalFormatting>
  <conditionalFormatting sqref="B99:B108">
    <cfRule type="expression" dxfId="5153" priority="219">
      <formula>$J99&gt;0</formula>
    </cfRule>
  </conditionalFormatting>
  <conditionalFormatting sqref="B109">
    <cfRule type="expression" dxfId="5152" priority="466">
      <formula>($D99="CANOPY TYPE")</formula>
    </cfRule>
    <cfRule type="expression" dxfId="5151" priority="465">
      <formula>ISNUMBER(SEARCH("UV",$D99))</formula>
    </cfRule>
  </conditionalFormatting>
  <conditionalFormatting sqref="B110:B112 B127:B129 B161:B163 B178:B180">
    <cfRule type="expression" dxfId="5150" priority="433">
      <formula>$J110&gt;0</formula>
    </cfRule>
  </conditionalFormatting>
  <conditionalFormatting sqref="B113">
    <cfRule type="expression" dxfId="5149" priority="325">
      <formula>$B113&lt;&gt;""</formula>
    </cfRule>
  </conditionalFormatting>
  <conditionalFormatting sqref="B116:B125">
    <cfRule type="expression" dxfId="5148" priority="208">
      <formula>$J116&gt;0</formula>
    </cfRule>
  </conditionalFormatting>
  <conditionalFormatting sqref="B126">
    <cfRule type="expression" dxfId="5147" priority="299">
      <formula>($D116="CANOPY TYPE")</formula>
    </cfRule>
    <cfRule type="expression" dxfId="5146" priority="298">
      <formula>ISNUMBER(SEARCH("UV",$D116))</formula>
    </cfRule>
  </conditionalFormatting>
  <conditionalFormatting sqref="B130">
    <cfRule type="expression" dxfId="5145" priority="189">
      <formula>$B130&lt;&gt;""</formula>
    </cfRule>
  </conditionalFormatting>
  <conditionalFormatting sqref="B133:B142">
    <cfRule type="expression" dxfId="5144" priority="21">
      <formula>$J133&gt;0</formula>
    </cfRule>
  </conditionalFormatting>
  <conditionalFormatting sqref="B143">
    <cfRule type="expression" dxfId="5143" priority="159">
      <formula>ISNUMBER(SEARCH("UV",$D133))</formula>
    </cfRule>
    <cfRule type="expression" dxfId="5142" priority="160">
      <formula>($D133="CANOPY TYPE")</formula>
    </cfRule>
  </conditionalFormatting>
  <conditionalFormatting sqref="B144:B146">
    <cfRule type="expression" dxfId="5141" priority="118">
      <formula>$J144&gt;0</formula>
    </cfRule>
  </conditionalFormatting>
  <conditionalFormatting sqref="B147">
    <cfRule type="expression" dxfId="5140" priority="188">
      <formula>$B147&lt;&gt;""</formula>
    </cfRule>
  </conditionalFormatting>
  <conditionalFormatting sqref="B150:B159">
    <cfRule type="expression" dxfId="5139" priority="10">
      <formula>$J150&gt;0</formula>
    </cfRule>
  </conditionalFormatting>
  <conditionalFormatting sqref="B160">
    <cfRule type="expression" dxfId="5138" priority="130">
      <formula>ISNUMBER(SEARCH("UV",$D150))</formula>
    </cfRule>
    <cfRule type="expression" dxfId="5137" priority="131">
      <formula>($D150="CANOPY TYPE")</formula>
    </cfRule>
  </conditionalFormatting>
  <conditionalFormatting sqref="B164">
    <cfRule type="expression" dxfId="5136" priority="81">
      <formula>$B164&lt;&gt;""</formula>
    </cfRule>
  </conditionalFormatting>
  <conditionalFormatting sqref="B167:B176">
    <cfRule type="expression" dxfId="5135" priority="5">
      <formula>$J167&gt;0</formula>
    </cfRule>
  </conditionalFormatting>
  <conditionalFormatting sqref="B177">
    <cfRule type="expression" dxfId="5134" priority="54">
      <formula>ISNUMBER(SEARCH("UV",$D167))</formula>
    </cfRule>
    <cfRule type="expression" dxfId="5133" priority="55">
      <formula>($D167="CANOPY TYPE")</formula>
    </cfRule>
  </conditionalFormatting>
  <conditionalFormatting sqref="B183:B197">
    <cfRule type="expression" dxfId="5132" priority="618">
      <formula>$C183&gt;0</formula>
    </cfRule>
  </conditionalFormatting>
  <conditionalFormatting sqref="C14">
    <cfRule type="containsText" dxfId="5131" priority="423" operator="containsText" text="CONFIG">
      <formula>NOT(ISERROR(SEARCH("CONFIG",C14)))</formula>
    </cfRule>
  </conditionalFormatting>
  <conditionalFormatting sqref="C15">
    <cfRule type="containsText" dxfId="5130" priority="428" operator="containsText" text="LIGHT SELECTION">
      <formula>NOT(ISERROR(SEARCH("LIGHT SELECTION",C15)))</formula>
    </cfRule>
  </conditionalFormatting>
  <conditionalFormatting sqref="C16:C17">
    <cfRule type="containsText" dxfId="5129" priority="674" operator="containsText" text="ANSUL SELECTION">
      <formula>NOT(ISERROR(SEARCH("ANSUL SELECTION",C16)))</formula>
    </cfRule>
  </conditionalFormatting>
  <conditionalFormatting sqref="C20:C21">
    <cfRule type="cellIs" dxfId="5128" priority="671" operator="lessThan">
      <formula>1</formula>
    </cfRule>
  </conditionalFormatting>
  <conditionalFormatting sqref="C22:C23">
    <cfRule type="expression" dxfId="5127" priority="403">
      <formula>D22="WW PODS"</formula>
    </cfRule>
  </conditionalFormatting>
  <conditionalFormatting sqref="C24">
    <cfRule type="expression" dxfId="5126" priority="689">
      <formula>ISNUMBER(SEARCH("UV",D14))</formula>
    </cfRule>
  </conditionalFormatting>
  <conditionalFormatting sqref="C25">
    <cfRule type="expression" dxfId="5125" priority="651">
      <formula>(ISNUMBER(SEARCH("CMW",D14)))=TRUE</formula>
    </cfRule>
  </conditionalFormatting>
  <conditionalFormatting sqref="C26">
    <cfRule type="expression" dxfId="5124" priority="650">
      <formula>(ISNUMBER(SEARCH("CMW",D14)))=TRUE</formula>
    </cfRule>
  </conditionalFormatting>
  <conditionalFormatting sqref="C27">
    <cfRule type="expression" dxfId="5123" priority="620">
      <formula>(ISNUMBER(SEARCH("CMW",$D14)))=TRUE</formula>
    </cfRule>
  </conditionalFormatting>
  <conditionalFormatting sqref="C31">
    <cfRule type="containsText" dxfId="5122" priority="595" operator="containsText" text="CONFIG">
      <formula>NOT(ISERROR(SEARCH("CONFIG",C31)))</formula>
    </cfRule>
  </conditionalFormatting>
  <conditionalFormatting sqref="C32">
    <cfRule type="containsText" dxfId="5121" priority="430" operator="containsText" text="LIGHT SELECTION">
      <formula>NOT(ISERROR(SEARCH("LIGHT SELECTION",C32)))</formula>
    </cfRule>
  </conditionalFormatting>
  <conditionalFormatting sqref="C33:C34">
    <cfRule type="containsText" dxfId="5120" priority="271" operator="containsText" text="ANSUL SELECTION">
      <formula>NOT(ISERROR(SEARCH("ANSUL SELECTION",C33)))</formula>
    </cfRule>
  </conditionalFormatting>
  <conditionalFormatting sqref="C37:C38">
    <cfRule type="cellIs" dxfId="5119" priority="594" operator="lessThan">
      <formula>1</formula>
    </cfRule>
  </conditionalFormatting>
  <conditionalFormatting sqref="C39:C40">
    <cfRule type="expression" dxfId="5118" priority="388">
      <formula>D39="WW PODS"</formula>
    </cfRule>
  </conditionalFormatting>
  <conditionalFormatting sqref="C41">
    <cfRule type="expression" dxfId="5117" priority="609">
      <formula>ISNUMBER(SEARCH("UV",D31))</formula>
    </cfRule>
  </conditionalFormatting>
  <conditionalFormatting sqref="C42">
    <cfRule type="expression" dxfId="5116" priority="592">
      <formula>(ISNUMBER(SEARCH("CMW",D31)))=TRUE</formula>
    </cfRule>
  </conditionalFormatting>
  <conditionalFormatting sqref="C43">
    <cfRule type="expression" dxfId="5115" priority="462">
      <formula>(ISNUMBER(SEARCH("CMW",D31)))=TRUE</formula>
    </cfRule>
  </conditionalFormatting>
  <conditionalFormatting sqref="C44">
    <cfRule type="expression" dxfId="5114" priority="588">
      <formula>(ISNUMBER(SEARCH("CMW",$D31)))=TRUE</formula>
    </cfRule>
  </conditionalFormatting>
  <conditionalFormatting sqref="C48">
    <cfRule type="containsText" dxfId="5113" priority="565" operator="containsText" text="CONFIG">
      <formula>NOT(ISERROR(SEARCH("CONFIG",C48)))</formula>
    </cfRule>
  </conditionalFormatting>
  <conditionalFormatting sqref="C49">
    <cfRule type="containsText" dxfId="5112" priority="427" operator="containsText" text="LIGHT SELECTION">
      <formula>NOT(ISERROR(SEARCH("LIGHT SELECTION",C49)))</formula>
    </cfRule>
  </conditionalFormatting>
  <conditionalFormatting sqref="C50:C51">
    <cfRule type="containsText" dxfId="5111" priority="260" operator="containsText" text="ANSUL SELECTION">
      <formula>NOT(ISERROR(SEARCH("ANSUL SELECTION",C50)))</formula>
    </cfRule>
  </conditionalFormatting>
  <conditionalFormatting sqref="C54:C55">
    <cfRule type="cellIs" dxfId="5110" priority="564" operator="lessThan">
      <formula>1</formula>
    </cfRule>
  </conditionalFormatting>
  <conditionalFormatting sqref="C56:C57">
    <cfRule type="expression" dxfId="5109" priority="373">
      <formula>D56="WW PODS"</formula>
    </cfRule>
  </conditionalFormatting>
  <conditionalFormatting sqref="C58">
    <cfRule type="expression" dxfId="5108" priority="578">
      <formula>ISNUMBER(SEARCH("UV",D48))</formula>
    </cfRule>
  </conditionalFormatting>
  <conditionalFormatting sqref="C59">
    <cfRule type="expression" dxfId="5107" priority="562">
      <formula>(ISNUMBER(SEARCH("CMW",D48)))=TRUE</formula>
    </cfRule>
  </conditionalFormatting>
  <conditionalFormatting sqref="C60">
    <cfRule type="expression" dxfId="5106" priority="461">
      <formula>(ISNUMBER(SEARCH("CMW",D48)))=TRUE</formula>
    </cfRule>
  </conditionalFormatting>
  <conditionalFormatting sqref="C61">
    <cfRule type="expression" dxfId="5105" priority="558">
      <formula>(ISNUMBER(SEARCH("CMW",$D48)))=TRUE</formula>
    </cfRule>
  </conditionalFormatting>
  <conditionalFormatting sqref="C65">
    <cfRule type="containsText" dxfId="5104" priority="536" operator="containsText" text="CONFIG">
      <formula>NOT(ISERROR(SEARCH("CONFIG",C65)))</formula>
    </cfRule>
  </conditionalFormatting>
  <conditionalFormatting sqref="C66">
    <cfRule type="containsText" dxfId="5103" priority="426" operator="containsText" text="LIGHT SELECTION">
      <formula>NOT(ISERROR(SEARCH("LIGHT SELECTION",C66)))</formula>
    </cfRule>
  </conditionalFormatting>
  <conditionalFormatting sqref="C67:C68">
    <cfRule type="containsText" dxfId="5102" priority="249" operator="containsText" text="ANSUL SELECTION">
      <formula>NOT(ISERROR(SEARCH("ANSUL SELECTION",C67)))</formula>
    </cfRule>
  </conditionalFormatting>
  <conditionalFormatting sqref="C71:C72">
    <cfRule type="cellIs" dxfId="5101" priority="535" operator="lessThan">
      <formula>1</formula>
    </cfRule>
  </conditionalFormatting>
  <conditionalFormatting sqref="C73:C74">
    <cfRule type="expression" dxfId="5100" priority="358">
      <formula>D73="WW PODS"</formula>
    </cfRule>
  </conditionalFormatting>
  <conditionalFormatting sqref="C75">
    <cfRule type="expression" dxfId="5099" priority="549">
      <formula>ISNUMBER(SEARCH("UV",D65))</formula>
    </cfRule>
  </conditionalFormatting>
  <conditionalFormatting sqref="C76">
    <cfRule type="expression" dxfId="5098" priority="532">
      <formula>(ISNUMBER(SEARCH("CMW",D65)))=TRUE</formula>
    </cfRule>
  </conditionalFormatting>
  <conditionalFormatting sqref="C77">
    <cfRule type="expression" dxfId="5097" priority="460">
      <formula>(ISNUMBER(SEARCH("CMW",D65)))=TRUE</formula>
    </cfRule>
  </conditionalFormatting>
  <conditionalFormatting sqref="C78">
    <cfRule type="expression" dxfId="5096" priority="528">
      <formula>(ISNUMBER(SEARCH("CMW",$D65)))=TRUE</formula>
    </cfRule>
  </conditionalFormatting>
  <conditionalFormatting sqref="C82">
    <cfRule type="containsText" dxfId="5095" priority="505" operator="containsText" text="CONFIG">
      <formula>NOT(ISERROR(SEARCH("CONFIG",C82)))</formula>
    </cfRule>
  </conditionalFormatting>
  <conditionalFormatting sqref="C83">
    <cfRule type="containsText" dxfId="5094" priority="425" operator="containsText" text="LIGHT SELECTION">
      <formula>NOT(ISERROR(SEARCH("LIGHT SELECTION",C83)))</formula>
    </cfRule>
  </conditionalFormatting>
  <conditionalFormatting sqref="C84:C85">
    <cfRule type="containsText" dxfId="5093" priority="238" operator="containsText" text="ANSUL SELECTION">
      <formula>NOT(ISERROR(SEARCH("ANSUL SELECTION",C84)))</formula>
    </cfRule>
  </conditionalFormatting>
  <conditionalFormatting sqref="C88:C89">
    <cfRule type="cellIs" dxfId="5092" priority="504" operator="lessThan">
      <formula>1</formula>
    </cfRule>
  </conditionalFormatting>
  <conditionalFormatting sqref="C90:C91">
    <cfRule type="expression" dxfId="5091" priority="343">
      <formula>D90="WW PODS"</formula>
    </cfRule>
  </conditionalFormatting>
  <conditionalFormatting sqref="C92">
    <cfRule type="expression" dxfId="5090" priority="519">
      <formula>ISNUMBER(SEARCH("UV",D82))</formula>
    </cfRule>
  </conditionalFormatting>
  <conditionalFormatting sqref="C93">
    <cfRule type="expression" dxfId="5089" priority="501">
      <formula>(ISNUMBER(SEARCH("CMW",D82)))=TRUE</formula>
    </cfRule>
  </conditionalFormatting>
  <conditionalFormatting sqref="C94">
    <cfRule type="expression" dxfId="5088" priority="459">
      <formula>(ISNUMBER(SEARCH("CMW",D82)))=TRUE</formula>
    </cfRule>
  </conditionalFormatting>
  <conditionalFormatting sqref="C95">
    <cfRule type="expression" dxfId="5087" priority="497">
      <formula>(ISNUMBER(SEARCH("CMW",$D82)))=TRUE</formula>
    </cfRule>
  </conditionalFormatting>
  <conditionalFormatting sqref="C99">
    <cfRule type="containsText" dxfId="5086" priority="474" operator="containsText" text="CONFIG">
      <formula>NOT(ISERROR(SEARCH("CONFIG",C99)))</formula>
    </cfRule>
  </conditionalFormatting>
  <conditionalFormatting sqref="C100">
    <cfRule type="containsText" dxfId="5085" priority="424" operator="containsText" text="LIGHT SELECTION">
      <formula>NOT(ISERROR(SEARCH("LIGHT SELECTION",C100)))</formula>
    </cfRule>
  </conditionalFormatting>
  <conditionalFormatting sqref="C101:C102">
    <cfRule type="containsText" dxfId="5084" priority="227" operator="containsText" text="ANSUL SELECTION">
      <formula>NOT(ISERROR(SEARCH("ANSUL SELECTION",C101)))</formula>
    </cfRule>
  </conditionalFormatting>
  <conditionalFormatting sqref="C105:C106">
    <cfRule type="cellIs" dxfId="5083" priority="473" operator="lessThan">
      <formula>1</formula>
    </cfRule>
  </conditionalFormatting>
  <conditionalFormatting sqref="C107:C108">
    <cfRule type="expression" dxfId="5082" priority="328">
      <formula>D107="WW PODS"</formula>
    </cfRule>
  </conditionalFormatting>
  <conditionalFormatting sqref="C109">
    <cfRule type="expression" dxfId="5081" priority="488">
      <formula>ISNUMBER(SEARCH("UV",D99))</formula>
    </cfRule>
  </conditionalFormatting>
  <conditionalFormatting sqref="C110">
    <cfRule type="expression" dxfId="5080" priority="471">
      <formula>(ISNUMBER(SEARCH("CMW",D99)))=TRUE</formula>
    </cfRule>
  </conditionalFormatting>
  <conditionalFormatting sqref="C111">
    <cfRule type="expression" dxfId="5079" priority="458">
      <formula>(ISNUMBER(SEARCH("CMW",D99)))=TRUE</formula>
    </cfRule>
  </conditionalFormatting>
  <conditionalFormatting sqref="C112 C129 C163 C180">
    <cfRule type="expression" dxfId="5078" priority="467">
      <formula>(ISNUMBER(SEARCH("CMW",$D99)))=TRUE</formula>
    </cfRule>
  </conditionalFormatting>
  <conditionalFormatting sqref="C116">
    <cfRule type="containsText" dxfId="5077" priority="306" operator="containsText" text="CONFIG">
      <formula>NOT(ISERROR(SEARCH("CONFIG",C116)))</formula>
    </cfRule>
  </conditionalFormatting>
  <conditionalFormatting sqref="C117">
    <cfRule type="containsText" dxfId="5076" priority="291" operator="containsText" text="LIGHT SELECTION">
      <formula>NOT(ISERROR(SEARCH("LIGHT SELECTION",C117)))</formula>
    </cfRule>
  </conditionalFormatting>
  <conditionalFormatting sqref="C118:C119">
    <cfRule type="containsText" dxfId="5075" priority="216" operator="containsText" text="ANSUL SELECTION">
      <formula>NOT(ISERROR(SEARCH("ANSUL SELECTION",C118)))</formula>
    </cfRule>
  </conditionalFormatting>
  <conditionalFormatting sqref="C122:C123">
    <cfRule type="cellIs" dxfId="5074" priority="305" operator="lessThan">
      <formula>1</formula>
    </cfRule>
  </conditionalFormatting>
  <conditionalFormatting sqref="C124:C125">
    <cfRule type="expression" dxfId="5073" priority="275">
      <formula>D124="WW PODS"</formula>
    </cfRule>
  </conditionalFormatting>
  <conditionalFormatting sqref="C126">
    <cfRule type="expression" dxfId="5072" priority="320">
      <formula>ISNUMBER(SEARCH("UV",D116))</formula>
    </cfRule>
  </conditionalFormatting>
  <conditionalFormatting sqref="C127">
    <cfRule type="expression" dxfId="5071" priority="303">
      <formula>(ISNUMBER(SEARCH("CMW",D116)))=TRUE</formula>
    </cfRule>
  </conditionalFormatting>
  <conditionalFormatting sqref="C128">
    <cfRule type="expression" dxfId="5070" priority="296">
      <formula>(ISNUMBER(SEARCH("CMW",D116)))=TRUE</formula>
    </cfRule>
  </conditionalFormatting>
  <conditionalFormatting sqref="C133">
    <cfRule type="containsText" dxfId="5069" priority="169" operator="containsText" text="CONFIG">
      <formula>NOT(ISERROR(SEARCH("CONFIG",C133)))</formula>
    </cfRule>
  </conditionalFormatting>
  <conditionalFormatting sqref="C134">
    <cfRule type="containsText" dxfId="5068" priority="117" operator="containsText" text="LIGHT SELECTION">
      <formula>NOT(ISERROR(SEARCH("LIGHT SELECTION",C134)))</formula>
    </cfRule>
  </conditionalFormatting>
  <conditionalFormatting sqref="C135:C136">
    <cfRule type="containsText" dxfId="5067" priority="29" operator="containsText" text="ANSUL SELECTION">
      <formula>NOT(ISERROR(SEARCH("ANSUL SELECTION",C135)))</formula>
    </cfRule>
  </conditionalFormatting>
  <conditionalFormatting sqref="C139:C140">
    <cfRule type="cellIs" dxfId="5066" priority="168" operator="lessThan">
      <formula>1</formula>
    </cfRule>
  </conditionalFormatting>
  <conditionalFormatting sqref="C141:C142">
    <cfRule type="expression" dxfId="5065" priority="99">
      <formula>D141="WW PODS"</formula>
    </cfRule>
  </conditionalFormatting>
  <conditionalFormatting sqref="C143">
    <cfRule type="expression" dxfId="5064" priority="183">
      <formula>ISNUMBER(SEARCH("UV",D133))</formula>
    </cfRule>
  </conditionalFormatting>
  <conditionalFormatting sqref="C144">
    <cfRule type="expression" dxfId="5063" priority="165">
      <formula>(ISNUMBER(SEARCH("CMW",D133)))=TRUE</formula>
    </cfRule>
  </conditionalFormatting>
  <conditionalFormatting sqref="C145">
    <cfRule type="expression" dxfId="5062" priority="128">
      <formula>(ISNUMBER(SEARCH("CMW",D133)))=TRUE</formula>
    </cfRule>
  </conditionalFormatting>
  <conditionalFormatting sqref="C146">
    <cfRule type="expression" dxfId="5061" priority="161">
      <formula>(ISNUMBER(SEARCH("CMW",$D133)))=TRUE</formula>
    </cfRule>
  </conditionalFormatting>
  <conditionalFormatting sqref="C150">
    <cfRule type="containsText" dxfId="5060" priority="138" operator="containsText" text="CONFIG">
      <formula>NOT(ISERROR(SEARCH("CONFIG",C150)))</formula>
    </cfRule>
  </conditionalFormatting>
  <conditionalFormatting sqref="C151">
    <cfRule type="containsText" dxfId="5059" priority="116" operator="containsText" text="LIGHT SELECTION">
      <formula>NOT(ISERROR(SEARCH("LIGHT SELECTION",C151)))</formula>
    </cfRule>
  </conditionalFormatting>
  <conditionalFormatting sqref="C152:C153">
    <cfRule type="containsText" dxfId="5058" priority="18" operator="containsText" text="ANSUL SELECTION">
      <formula>NOT(ISERROR(SEARCH("ANSUL SELECTION",C152)))</formula>
    </cfRule>
  </conditionalFormatting>
  <conditionalFormatting sqref="C156:C157">
    <cfRule type="cellIs" dxfId="5057" priority="137" operator="lessThan">
      <formula>1</formula>
    </cfRule>
  </conditionalFormatting>
  <conditionalFormatting sqref="C158:C159">
    <cfRule type="expression" dxfId="5056" priority="84">
      <formula>D158="WW PODS"</formula>
    </cfRule>
  </conditionalFormatting>
  <conditionalFormatting sqref="C160">
    <cfRule type="expression" dxfId="5055" priority="152">
      <formula>ISNUMBER(SEARCH("UV",D150))</formula>
    </cfRule>
  </conditionalFormatting>
  <conditionalFormatting sqref="C161">
    <cfRule type="expression" dxfId="5054" priority="135">
      <formula>(ISNUMBER(SEARCH("CMW",D150)))=TRUE</formula>
    </cfRule>
  </conditionalFormatting>
  <conditionalFormatting sqref="C162">
    <cfRule type="expression" dxfId="5053" priority="127">
      <formula>(ISNUMBER(SEARCH("CMW",D150)))=TRUE</formula>
    </cfRule>
  </conditionalFormatting>
  <conditionalFormatting sqref="C167">
    <cfRule type="containsText" dxfId="5052" priority="62" operator="containsText" text="CONFIG">
      <formula>NOT(ISERROR(SEARCH("CONFIG",C167)))</formula>
    </cfRule>
  </conditionalFormatting>
  <conditionalFormatting sqref="C168">
    <cfRule type="containsText" dxfId="5051" priority="47" operator="containsText" text="LIGHT SELECTION">
      <formula>NOT(ISERROR(SEARCH("LIGHT SELECTION",C168)))</formula>
    </cfRule>
  </conditionalFormatting>
  <conditionalFormatting sqref="C169:C170">
    <cfRule type="containsText" dxfId="5050" priority="7" operator="containsText" text="ANSUL SELECTION">
      <formula>NOT(ISERROR(SEARCH("ANSUL SELECTION",C169)))</formula>
    </cfRule>
  </conditionalFormatting>
  <conditionalFormatting sqref="C173:C174">
    <cfRule type="cellIs" dxfId="5049" priority="61" operator="lessThan">
      <formula>1</formula>
    </cfRule>
  </conditionalFormatting>
  <conditionalFormatting sqref="C175:C176">
    <cfRule type="expression" dxfId="5048" priority="31">
      <formula>D175="WW PODS"</formula>
    </cfRule>
  </conditionalFormatting>
  <conditionalFormatting sqref="C177">
    <cfRule type="expression" dxfId="5047" priority="76">
      <formula>ISNUMBER(SEARCH("UV",D167))</formula>
    </cfRule>
  </conditionalFormatting>
  <conditionalFormatting sqref="C178">
    <cfRule type="expression" dxfId="5046" priority="59">
      <formula>(ISNUMBER(SEARCH("CMW",D167)))=TRUE</formula>
    </cfRule>
  </conditionalFormatting>
  <conditionalFormatting sqref="C179">
    <cfRule type="expression" dxfId="5045" priority="52">
      <formula>(ISNUMBER(SEARCH("CMW",D167)))=TRUE</formula>
    </cfRule>
  </conditionalFormatting>
  <conditionalFormatting sqref="C183:C184">
    <cfRule type="cellIs" dxfId="5044" priority="673" operator="lessThan">
      <formula>1</formula>
    </cfRule>
  </conditionalFormatting>
  <conditionalFormatting sqref="C185:C186">
    <cfRule type="cellIs" dxfId="5043" priority="662" operator="lessThan">
      <formula>1</formula>
    </cfRule>
  </conditionalFormatting>
  <conditionalFormatting sqref="C187:C197">
    <cfRule type="cellIs" dxfId="5042" priority="273" operator="lessThan">
      <formula>1</formula>
    </cfRule>
  </conditionalFormatting>
  <conditionalFormatting sqref="C9:D9">
    <cfRule type="cellIs" dxfId="5041" priority="663" operator="lessThan">
      <formula>0</formula>
    </cfRule>
    <cfRule type="cellIs" dxfId="5040" priority="664" operator="greaterThan">
      <formula>0</formula>
    </cfRule>
  </conditionalFormatting>
  <conditionalFormatting sqref="D14">
    <cfRule type="containsText" dxfId="5039" priority="675" operator="containsText" text="CANOPY TYPE">
      <formula>NOT(ISERROR(SEARCH("CANOPY TYPE",D14)))</formula>
    </cfRule>
  </conditionalFormatting>
  <conditionalFormatting sqref="D15">
    <cfRule type="expression" dxfId="5038" priority="419">
      <formula>(C15="LIGHT SELECTION")</formula>
    </cfRule>
  </conditionalFormatting>
  <conditionalFormatting sqref="D18">
    <cfRule type="expression" dxfId="5037" priority="629">
      <formula>($C18="SELECT WORKS")</formula>
    </cfRule>
  </conditionalFormatting>
  <conditionalFormatting sqref="D19">
    <cfRule type="expression" dxfId="5036" priority="272">
      <formula>$C19="SELECT CLADDING"</formula>
    </cfRule>
  </conditionalFormatting>
  <conditionalFormatting sqref="D22:D23">
    <cfRule type="expression" dxfId="5035" priority="402">
      <formula>($D$14="CANOPY TYPE")</formula>
    </cfRule>
  </conditionalFormatting>
  <conditionalFormatting sqref="D24">
    <cfRule type="expression" dxfId="5034" priority="688">
      <formula>ISNUMBER(SEARCH("UV",D14))</formula>
    </cfRule>
  </conditionalFormatting>
  <conditionalFormatting sqref="D25">
    <cfRule type="expression" dxfId="5033" priority="614">
      <formula>($D$14="CANOPY TYPE")</formula>
    </cfRule>
  </conditionalFormatting>
  <conditionalFormatting sqref="D26">
    <cfRule type="expression" dxfId="5032" priority="637">
      <formula>(ISNUMBER(SEARCH("CMW",D14)))=TRUE</formula>
    </cfRule>
  </conditionalFormatting>
  <conditionalFormatting sqref="D31">
    <cfRule type="containsText" dxfId="5031" priority="596" operator="containsText" text="CANOPY TYPE">
      <formula>NOT(ISERROR(SEARCH("CANOPY TYPE",D31)))</formula>
    </cfRule>
  </conditionalFormatting>
  <conditionalFormatting sqref="D32">
    <cfRule type="expression" dxfId="5030" priority="432">
      <formula>(C32="LIGHT SELECTION")</formula>
    </cfRule>
  </conditionalFormatting>
  <conditionalFormatting sqref="D35">
    <cfRule type="expression" dxfId="5029" priority="589">
      <formula>($C35="SELECT WORKS")</formula>
    </cfRule>
  </conditionalFormatting>
  <conditionalFormatting sqref="D36">
    <cfRule type="expression" dxfId="5028" priority="411">
      <formula>$C36="SELECT CLADDING"</formula>
    </cfRule>
  </conditionalFormatting>
  <conditionalFormatting sqref="D39:D40">
    <cfRule type="expression" dxfId="5027" priority="387">
      <formula>($D$14="CANOPY TYPE")</formula>
    </cfRule>
  </conditionalFormatting>
  <conditionalFormatting sqref="D41">
    <cfRule type="expression" dxfId="5026" priority="608">
      <formula>ISNUMBER(SEARCH("UV",D31))</formula>
    </cfRule>
  </conditionalFormatting>
  <conditionalFormatting sqref="D42">
    <cfRule type="expression" dxfId="5025" priority="583">
      <formula>($D$14="CANOPY TYPE")</formula>
    </cfRule>
  </conditionalFormatting>
  <conditionalFormatting sqref="D43">
    <cfRule type="expression" dxfId="5024" priority="591">
      <formula>(ISNUMBER(SEARCH("CMW",D31)))=TRUE</formula>
    </cfRule>
  </conditionalFormatting>
  <conditionalFormatting sqref="D48">
    <cfRule type="containsText" dxfId="5023" priority="414" operator="containsText" text="CANOPY TYPE">
      <formula>NOT(ISERROR(SEARCH("CANOPY TYPE",D48)))</formula>
    </cfRule>
  </conditionalFormatting>
  <conditionalFormatting sqref="D49">
    <cfRule type="expression" dxfId="5022" priority="429">
      <formula>(C15="LIGHT SELECTION")</formula>
    </cfRule>
  </conditionalFormatting>
  <conditionalFormatting sqref="D52">
    <cfRule type="expression" dxfId="5021" priority="559">
      <formula>($C52="SELECT WORKS")</formula>
    </cfRule>
  </conditionalFormatting>
  <conditionalFormatting sqref="D53">
    <cfRule type="expression" dxfId="5020" priority="412">
      <formula>$C53="SELECT CLADDING"</formula>
    </cfRule>
  </conditionalFormatting>
  <conditionalFormatting sqref="D56:D57">
    <cfRule type="expression" dxfId="5019" priority="372">
      <formula>($D$14="CANOPY TYPE")</formula>
    </cfRule>
  </conditionalFormatting>
  <conditionalFormatting sqref="D58">
    <cfRule type="expression" dxfId="5018" priority="577">
      <formula>ISNUMBER(SEARCH("UV",D48))</formula>
    </cfRule>
  </conditionalFormatting>
  <conditionalFormatting sqref="D59">
    <cfRule type="expression" dxfId="5017" priority="554">
      <formula>($D$14="CANOPY TYPE")</formula>
    </cfRule>
  </conditionalFormatting>
  <conditionalFormatting sqref="D60">
    <cfRule type="expression" dxfId="5016" priority="561">
      <formula>(ISNUMBER(SEARCH("CMW",D48)))=TRUE</formula>
    </cfRule>
  </conditionalFormatting>
  <conditionalFormatting sqref="D65">
    <cfRule type="containsText" dxfId="5015" priority="413" operator="containsText" text="CANOPY TYPE">
      <formula>NOT(ISERROR(SEARCH("CANOPY TYPE",D65)))</formula>
    </cfRule>
  </conditionalFormatting>
  <conditionalFormatting sqref="D66">
    <cfRule type="expression" dxfId="5014" priority="422">
      <formula>(C66="LIGHT SELECTION")</formula>
    </cfRule>
  </conditionalFormatting>
  <conditionalFormatting sqref="D69">
    <cfRule type="expression" dxfId="5013" priority="529">
      <formula>($C69="SELECT WORKS")</formula>
    </cfRule>
  </conditionalFormatting>
  <conditionalFormatting sqref="D70">
    <cfRule type="expression" dxfId="5012" priority="533">
      <formula>$C70="SELECT CLADDING"</formula>
    </cfRule>
  </conditionalFormatting>
  <conditionalFormatting sqref="D73:D74">
    <cfRule type="expression" dxfId="5011" priority="357">
      <formula>($D$14="CANOPY TYPE")</formula>
    </cfRule>
  </conditionalFormatting>
  <conditionalFormatting sqref="D75">
    <cfRule type="expression" dxfId="5010" priority="548">
      <formula>ISNUMBER(SEARCH("UV",D65))</formula>
    </cfRule>
  </conditionalFormatting>
  <conditionalFormatting sqref="D76">
    <cfRule type="expression" dxfId="5009" priority="524">
      <formula>($D$14="CANOPY TYPE")</formula>
    </cfRule>
  </conditionalFormatting>
  <conditionalFormatting sqref="D77">
    <cfRule type="expression" dxfId="5008" priority="531">
      <formula>(ISNUMBER(SEARCH("CMW",D65)))=TRUE</formula>
    </cfRule>
  </conditionalFormatting>
  <conditionalFormatting sqref="D82">
    <cfRule type="containsText" dxfId="5007" priority="506" operator="containsText" text="CANOPY TYPE">
      <formula>NOT(ISERROR(SEARCH("CANOPY TYPE",D82)))</formula>
    </cfRule>
  </conditionalFormatting>
  <conditionalFormatting sqref="D83">
    <cfRule type="expression" dxfId="5006" priority="421">
      <formula>(C83="LIGHT SELECTION")</formula>
    </cfRule>
  </conditionalFormatting>
  <conditionalFormatting sqref="D86">
    <cfRule type="expression" dxfId="5005" priority="498">
      <formula>($C86="SELECT WORKS")</formula>
    </cfRule>
  </conditionalFormatting>
  <conditionalFormatting sqref="D87">
    <cfRule type="expression" dxfId="5004" priority="502">
      <formula>$C87="SELECT CLADDING"</formula>
    </cfRule>
  </conditionalFormatting>
  <conditionalFormatting sqref="D90:D91">
    <cfRule type="expression" dxfId="5003" priority="342">
      <formula>($D$14="CANOPY TYPE")</formula>
    </cfRule>
  </conditionalFormatting>
  <conditionalFormatting sqref="D92">
    <cfRule type="expression" dxfId="5002" priority="518">
      <formula>ISNUMBER(SEARCH("UV",D82))</formula>
    </cfRule>
  </conditionalFormatting>
  <conditionalFormatting sqref="D93">
    <cfRule type="expression" dxfId="5001" priority="493">
      <formula>($D$14="CANOPY TYPE")</formula>
    </cfRule>
  </conditionalFormatting>
  <conditionalFormatting sqref="D94">
    <cfRule type="expression" dxfId="5000" priority="500">
      <formula>(ISNUMBER(SEARCH("CMW",D82)))=TRUE</formula>
    </cfRule>
  </conditionalFormatting>
  <conditionalFormatting sqref="D99">
    <cfRule type="containsText" dxfId="4999" priority="475" operator="containsText" text="CANOPY TYPE">
      <formula>NOT(ISERROR(SEARCH("CANOPY TYPE",D99)))</formula>
    </cfRule>
  </conditionalFormatting>
  <conditionalFormatting sqref="D100">
    <cfRule type="expression" dxfId="4998" priority="420">
      <formula>(C100="LIGHT SELECTION")</formula>
    </cfRule>
  </conditionalFormatting>
  <conditionalFormatting sqref="D103">
    <cfRule type="expression" dxfId="4997" priority="468">
      <formula>($C103="SELECT WORKS")</formula>
    </cfRule>
  </conditionalFormatting>
  <conditionalFormatting sqref="D104">
    <cfRule type="expression" dxfId="4996" priority="410">
      <formula>$C104="SELECT CLADDING"</formula>
    </cfRule>
  </conditionalFormatting>
  <conditionalFormatting sqref="D107:D108">
    <cfRule type="expression" dxfId="4995" priority="327">
      <formula>($D$14="CANOPY TYPE")</formula>
    </cfRule>
  </conditionalFormatting>
  <conditionalFormatting sqref="D109">
    <cfRule type="expression" dxfId="4994" priority="487">
      <formula>ISNUMBER(SEARCH("UV",D99))</formula>
    </cfRule>
  </conditionalFormatting>
  <conditionalFormatting sqref="D110">
    <cfRule type="expression" dxfId="4993" priority="463">
      <formula>($D$14="CANOPY TYPE")</formula>
    </cfRule>
  </conditionalFormatting>
  <conditionalFormatting sqref="D111">
    <cfRule type="expression" dxfId="4992" priority="470">
      <formula>(ISNUMBER(SEARCH("CMW",D99)))=TRUE</formula>
    </cfRule>
  </conditionalFormatting>
  <conditionalFormatting sqref="D116">
    <cfRule type="containsText" dxfId="4991" priority="307" operator="containsText" text="CANOPY TYPE">
      <formula>NOT(ISERROR(SEARCH("CANOPY TYPE",D116)))</formula>
    </cfRule>
  </conditionalFormatting>
  <conditionalFormatting sqref="D117">
    <cfRule type="expression" dxfId="4990" priority="290">
      <formula>(C117="LIGHT SELECTION")</formula>
    </cfRule>
  </conditionalFormatting>
  <conditionalFormatting sqref="D120">
    <cfRule type="expression" dxfId="4989" priority="300">
      <formula>($C120="SELECT WORKS")</formula>
    </cfRule>
  </conditionalFormatting>
  <conditionalFormatting sqref="D121">
    <cfRule type="expression" dxfId="4988" priority="289">
      <formula>$C121="SELECT CLADDING"</formula>
    </cfRule>
  </conditionalFormatting>
  <conditionalFormatting sqref="D124:D125">
    <cfRule type="expression" dxfId="4987" priority="274">
      <formula>($D$14="CANOPY TYPE")</formula>
    </cfRule>
  </conditionalFormatting>
  <conditionalFormatting sqref="D126">
    <cfRule type="expression" dxfId="4986" priority="319">
      <formula>ISNUMBER(SEARCH("UV",D116))</formula>
    </cfRule>
  </conditionalFormatting>
  <conditionalFormatting sqref="D127">
    <cfRule type="expression" dxfId="4985" priority="297">
      <formula>($D$14="CANOPY TYPE")</formula>
    </cfRule>
  </conditionalFormatting>
  <conditionalFormatting sqref="D128">
    <cfRule type="expression" dxfId="4984" priority="302">
      <formula>(ISNUMBER(SEARCH("CMW",D116)))=TRUE</formula>
    </cfRule>
  </conditionalFormatting>
  <conditionalFormatting sqref="D133">
    <cfRule type="containsText" dxfId="4983" priority="170" operator="containsText" text="CANOPY TYPE">
      <formula>NOT(ISERROR(SEARCH("CANOPY TYPE",D133)))</formula>
    </cfRule>
  </conditionalFormatting>
  <conditionalFormatting sqref="D134">
    <cfRule type="expression" dxfId="4982" priority="115">
      <formula>(C134="LIGHT SELECTION")</formula>
    </cfRule>
  </conditionalFormatting>
  <conditionalFormatting sqref="D137">
    <cfRule type="expression" dxfId="4981" priority="162">
      <formula>($C137="SELECT WORKS")</formula>
    </cfRule>
  </conditionalFormatting>
  <conditionalFormatting sqref="D138">
    <cfRule type="expression" dxfId="4980" priority="166">
      <formula>$C138="SELECT CLADDING"</formula>
    </cfRule>
  </conditionalFormatting>
  <conditionalFormatting sqref="D141:D142">
    <cfRule type="expression" dxfId="4979" priority="98">
      <formula>($D$14="CANOPY TYPE")</formula>
    </cfRule>
  </conditionalFormatting>
  <conditionalFormatting sqref="D143">
    <cfRule type="expression" dxfId="4978" priority="182">
      <formula>ISNUMBER(SEARCH("UV",D133))</formula>
    </cfRule>
  </conditionalFormatting>
  <conditionalFormatting sqref="D144">
    <cfRule type="expression" dxfId="4977" priority="157">
      <formula>($D$14="CANOPY TYPE")</formula>
    </cfRule>
  </conditionalFormatting>
  <conditionalFormatting sqref="D145">
    <cfRule type="expression" dxfId="4976" priority="164">
      <formula>(ISNUMBER(SEARCH("CMW",D133)))=TRUE</formula>
    </cfRule>
  </conditionalFormatting>
  <conditionalFormatting sqref="D150">
    <cfRule type="containsText" dxfId="4975" priority="139" operator="containsText" text="CANOPY TYPE">
      <formula>NOT(ISERROR(SEARCH("CANOPY TYPE",D150)))</formula>
    </cfRule>
  </conditionalFormatting>
  <conditionalFormatting sqref="D151">
    <cfRule type="expression" dxfId="4974" priority="114">
      <formula>(C151="LIGHT SELECTION")</formula>
    </cfRule>
  </conditionalFormatting>
  <conditionalFormatting sqref="D154">
    <cfRule type="expression" dxfId="4973" priority="132">
      <formula>($C154="SELECT WORKS")</formula>
    </cfRule>
  </conditionalFormatting>
  <conditionalFormatting sqref="D155">
    <cfRule type="expression" dxfId="4972" priority="113">
      <formula>$C155="SELECT CLADDING"</formula>
    </cfRule>
  </conditionalFormatting>
  <conditionalFormatting sqref="D158:D159">
    <cfRule type="expression" dxfId="4971" priority="83">
      <formula>($D$14="CANOPY TYPE")</formula>
    </cfRule>
  </conditionalFormatting>
  <conditionalFormatting sqref="D160">
    <cfRule type="expression" dxfId="4970" priority="151">
      <formula>ISNUMBER(SEARCH("UV",D150))</formula>
    </cfRule>
  </conditionalFormatting>
  <conditionalFormatting sqref="D161">
    <cfRule type="expression" dxfId="4969" priority="129">
      <formula>($D$14="CANOPY TYPE")</formula>
    </cfRule>
  </conditionalFormatting>
  <conditionalFormatting sqref="D162">
    <cfRule type="expression" dxfId="4968" priority="134">
      <formula>(ISNUMBER(SEARCH("CMW",D150)))=TRUE</formula>
    </cfRule>
  </conditionalFormatting>
  <conditionalFormatting sqref="D167">
    <cfRule type="containsText" dxfId="4967" priority="63" operator="containsText" text="CANOPY TYPE">
      <formula>NOT(ISERROR(SEARCH("CANOPY TYPE",D167)))</formula>
    </cfRule>
  </conditionalFormatting>
  <conditionalFormatting sqref="D168">
    <cfRule type="expression" dxfId="4966" priority="46">
      <formula>(C168="LIGHT SELECTION")</formula>
    </cfRule>
  </conditionalFormatting>
  <conditionalFormatting sqref="D171">
    <cfRule type="expression" dxfId="4965" priority="56">
      <formula>($C171="SELECT WORKS")</formula>
    </cfRule>
  </conditionalFormatting>
  <conditionalFormatting sqref="D172">
    <cfRule type="expression" dxfId="4964" priority="45">
      <formula>$C172="SELECT CLADDING"</formula>
    </cfRule>
  </conditionalFormatting>
  <conditionalFormatting sqref="D175:D176">
    <cfRule type="expression" dxfId="4963" priority="30">
      <formula>($D$14="CANOPY TYPE")</formula>
    </cfRule>
  </conditionalFormatting>
  <conditionalFormatting sqref="D177">
    <cfRule type="expression" dxfId="4962" priority="75">
      <formula>ISNUMBER(SEARCH("UV",D167))</formula>
    </cfRule>
  </conditionalFormatting>
  <conditionalFormatting sqref="D178">
    <cfRule type="expression" dxfId="4961" priority="53">
      <formula>($D$14="CANOPY TYPE")</formula>
    </cfRule>
  </conditionalFormatting>
  <conditionalFormatting sqref="D179">
    <cfRule type="expression" dxfId="4960" priority="58">
      <formula>(ISNUMBER(SEARCH("CMW",D167)))=TRUE</formula>
    </cfRule>
  </conditionalFormatting>
  <conditionalFormatting sqref="E12">
    <cfRule type="expression" dxfId="4959" priority="686">
      <formula>ISNUMBER(SEARCH("I-MUAP",$D$14))</formula>
    </cfRule>
    <cfRule type="cellIs" dxfId="4958" priority="687" operator="greaterThan">
      <formula>2000</formula>
    </cfRule>
    <cfRule type="expression" dxfId="4957" priority="685">
      <formula>AND((ISNUMBER(SEARCH("I-MUAP",$D$14))),E12&lt;2500)</formula>
    </cfRule>
  </conditionalFormatting>
  <conditionalFormatting sqref="E15">
    <cfRule type="expression" dxfId="4956" priority="417">
      <formula>(C15="LIGHT SELECTION")</formula>
    </cfRule>
  </conditionalFormatting>
  <conditionalFormatting sqref="E17:E18">
    <cfRule type="expression" dxfId="4955" priority="628">
      <formula>$C17="SELECT WORKS"</formula>
    </cfRule>
  </conditionalFormatting>
  <conditionalFormatting sqref="E22:E23">
    <cfRule type="expression" dxfId="4954" priority="668">
      <formula>D22="FILTER TYPE"</formula>
    </cfRule>
    <cfRule type="expression" dxfId="4953" priority="667">
      <formula>D22="WW PODS"</formula>
    </cfRule>
    <cfRule type="expression" dxfId="4952" priority="669">
      <formula>D22="KSA"</formula>
    </cfRule>
    <cfRule type="expression" dxfId="4951" priority="690">
      <formula>(D14="CANOPY TYPE")</formula>
    </cfRule>
  </conditionalFormatting>
  <conditionalFormatting sqref="E24">
    <cfRule type="containsText" dxfId="4950" priority="677" operator="containsText" text="LONG ">
      <formula>NOT(ISERROR(SEARCH("LONG ",E24)))</formula>
    </cfRule>
  </conditionalFormatting>
  <conditionalFormatting sqref="E29">
    <cfRule type="expression" dxfId="4949" priority="605">
      <formula>AND((ISNUMBER(SEARCH("I-MUAP",$D$14))),E29&lt;2500)</formula>
    </cfRule>
    <cfRule type="expression" dxfId="4948" priority="606">
      <formula>ISNUMBER(SEARCH("I-MUAP",$D$14))</formula>
    </cfRule>
    <cfRule type="cellIs" dxfId="4947" priority="607" operator="greaterThan">
      <formula>2000</formula>
    </cfRule>
  </conditionalFormatting>
  <conditionalFormatting sqref="E34">
    <cfRule type="expression" dxfId="4946" priority="264">
      <formula>$C34="SELECT WORKS"</formula>
    </cfRule>
  </conditionalFormatting>
  <conditionalFormatting sqref="E39:E40">
    <cfRule type="expression" dxfId="4945" priority="392">
      <formula>(D31="CANOPY TYPE")</formula>
    </cfRule>
    <cfRule type="expression" dxfId="4944" priority="391">
      <formula>D39="KSA"</formula>
    </cfRule>
    <cfRule type="expression" dxfId="4943" priority="390">
      <formula>D39="FILTER TYPE"</formula>
    </cfRule>
    <cfRule type="expression" dxfId="4942" priority="389">
      <formula>D39="WW PODS"</formula>
    </cfRule>
  </conditionalFormatting>
  <conditionalFormatting sqref="E41">
    <cfRule type="containsText" dxfId="4941" priority="598" operator="containsText" text="LONG ">
      <formula>NOT(ISERROR(SEARCH("LONG ",E41)))</formula>
    </cfRule>
  </conditionalFormatting>
  <conditionalFormatting sqref="E46">
    <cfRule type="expression" dxfId="4940" priority="575">
      <formula>ISNUMBER(SEARCH("I-MUAP",$D$14))</formula>
    </cfRule>
    <cfRule type="expression" dxfId="4939" priority="574">
      <formula>AND((ISNUMBER(SEARCH("I-MUAP",$D$14))),E46&lt;2500)</formula>
    </cfRule>
    <cfRule type="cellIs" dxfId="4938" priority="576" operator="greaterThan">
      <formula>2000</formula>
    </cfRule>
  </conditionalFormatting>
  <conditionalFormatting sqref="E49">
    <cfRule type="expression" dxfId="4937" priority="431">
      <formula>(C49="LIGHT SELECTION")</formula>
    </cfRule>
  </conditionalFormatting>
  <conditionalFormatting sqref="E51:E52">
    <cfRule type="expression" dxfId="4936" priority="253">
      <formula>$C51="SELECT WORKS"</formula>
    </cfRule>
  </conditionalFormatting>
  <conditionalFormatting sqref="E56:E57">
    <cfRule type="expression" dxfId="4935" priority="375">
      <formula>D56="FILTER TYPE"</formula>
    </cfRule>
    <cfRule type="expression" dxfId="4934" priority="374">
      <formula>D56="WW PODS"</formula>
    </cfRule>
    <cfRule type="expression" dxfId="4933" priority="377">
      <formula>(D48="CANOPY TYPE")</formula>
    </cfRule>
    <cfRule type="expression" dxfId="4932" priority="376">
      <formula>D56="KSA"</formula>
    </cfRule>
  </conditionalFormatting>
  <conditionalFormatting sqref="E58">
    <cfRule type="containsText" dxfId="4931" priority="567" operator="containsText" text="LONG ">
      <formula>NOT(ISERROR(SEARCH("LONG ",E58)))</formula>
    </cfRule>
  </conditionalFormatting>
  <conditionalFormatting sqref="E63">
    <cfRule type="expression" dxfId="4930" priority="545">
      <formula>AND((ISNUMBER(SEARCH("I-MUAP",$D$14))),E63&lt;2500)</formula>
    </cfRule>
    <cfRule type="expression" dxfId="4929" priority="546">
      <formula>ISNUMBER(SEARCH("I-MUAP",$D$14))</formula>
    </cfRule>
    <cfRule type="cellIs" dxfId="4928" priority="547" operator="greaterThan">
      <formula>2000</formula>
    </cfRule>
  </conditionalFormatting>
  <conditionalFormatting sqref="E68:E69">
    <cfRule type="expression" dxfId="4927" priority="242">
      <formula>$C68="SELECT WORKS"</formula>
    </cfRule>
  </conditionalFormatting>
  <conditionalFormatting sqref="E73:E74">
    <cfRule type="expression" dxfId="4926" priority="359">
      <formula>D73="WW PODS"</formula>
    </cfRule>
    <cfRule type="expression" dxfId="4925" priority="362">
      <formula>(D65="CANOPY TYPE")</formula>
    </cfRule>
    <cfRule type="expression" dxfId="4924" priority="360">
      <formula>D73="FILTER TYPE"</formula>
    </cfRule>
    <cfRule type="expression" dxfId="4923" priority="361">
      <formula>D73="KSA"</formula>
    </cfRule>
  </conditionalFormatting>
  <conditionalFormatting sqref="E75">
    <cfRule type="containsText" dxfId="4922" priority="538" operator="containsText" text="LONG ">
      <formula>NOT(ISERROR(SEARCH("LONG ",E75)))</formula>
    </cfRule>
  </conditionalFormatting>
  <conditionalFormatting sqref="E80">
    <cfRule type="expression" dxfId="4921" priority="515">
      <formula>AND((ISNUMBER(SEARCH("I-MUAP",$D$14))),E80&lt;2500)</formula>
    </cfRule>
    <cfRule type="expression" dxfId="4920" priority="516">
      <formula>ISNUMBER(SEARCH("I-MUAP",$D$14))</formula>
    </cfRule>
    <cfRule type="cellIs" dxfId="4919" priority="517" operator="greaterThan">
      <formula>2000</formula>
    </cfRule>
  </conditionalFormatting>
  <conditionalFormatting sqref="E85:E86">
    <cfRule type="expression" dxfId="4918" priority="231">
      <formula>$C85="SELECT WORKS"</formula>
    </cfRule>
  </conditionalFormatting>
  <conditionalFormatting sqref="E90:E91">
    <cfRule type="expression" dxfId="4917" priority="345">
      <formula>D90="FILTER TYPE"</formula>
    </cfRule>
    <cfRule type="expression" dxfId="4916" priority="346">
      <formula>D90="KSA"</formula>
    </cfRule>
    <cfRule type="expression" dxfId="4915" priority="344">
      <formula>D90="WW PODS"</formula>
    </cfRule>
    <cfRule type="expression" dxfId="4914" priority="347">
      <formula>(D82="CANOPY TYPE")</formula>
    </cfRule>
  </conditionalFormatting>
  <conditionalFormatting sqref="E92">
    <cfRule type="containsText" dxfId="4913" priority="508" operator="containsText" text="LONG ">
      <formula>NOT(ISERROR(SEARCH("LONG ",E92)))</formula>
    </cfRule>
  </conditionalFormatting>
  <conditionalFormatting sqref="E97">
    <cfRule type="expression" dxfId="4912" priority="484">
      <formula>AND((ISNUMBER(SEARCH("I-MUAP",$D$14))),E97&lt;2500)</formula>
    </cfRule>
    <cfRule type="expression" dxfId="4911" priority="485">
      <formula>ISNUMBER(SEARCH("I-MUAP",$D$14))</formula>
    </cfRule>
    <cfRule type="cellIs" dxfId="4910" priority="486" operator="greaterThan">
      <formula>2000</formula>
    </cfRule>
  </conditionalFormatting>
  <conditionalFormatting sqref="E102:E103">
    <cfRule type="expression" dxfId="4909" priority="220">
      <formula>$C102="SELECT WORKS"</formula>
    </cfRule>
  </conditionalFormatting>
  <conditionalFormatting sqref="E107:E108">
    <cfRule type="expression" dxfId="4908" priority="332">
      <formula>(D99="CANOPY TYPE")</formula>
    </cfRule>
    <cfRule type="expression" dxfId="4907" priority="330">
      <formula>D107="FILTER TYPE"</formula>
    </cfRule>
    <cfRule type="expression" dxfId="4906" priority="329">
      <formula>D107="WW PODS"</formula>
    </cfRule>
    <cfRule type="expression" dxfId="4905" priority="331">
      <formula>D107="KSA"</formula>
    </cfRule>
  </conditionalFormatting>
  <conditionalFormatting sqref="E109">
    <cfRule type="containsText" dxfId="4904" priority="477" operator="containsText" text="LONG ">
      <formula>NOT(ISERROR(SEARCH("LONG ",E109)))</formula>
    </cfRule>
  </conditionalFormatting>
  <conditionalFormatting sqref="E114">
    <cfRule type="expression" dxfId="4903" priority="316">
      <formula>AND((ISNUMBER(SEARCH("I-MUAP",$D$14))),E114&lt;2500)</formula>
    </cfRule>
    <cfRule type="expression" dxfId="4902" priority="317">
      <formula>ISNUMBER(SEARCH("I-MUAP",$D$14))</formula>
    </cfRule>
    <cfRule type="cellIs" dxfId="4901" priority="318" operator="greaterThan">
      <formula>2000</formula>
    </cfRule>
  </conditionalFormatting>
  <conditionalFormatting sqref="E119:E120">
    <cfRule type="expression" dxfId="4900" priority="209">
      <formula>$C119="SELECT WORKS"</formula>
    </cfRule>
  </conditionalFormatting>
  <conditionalFormatting sqref="E124:E125">
    <cfRule type="expression" dxfId="4899" priority="278">
      <formula>D124="KSA"</formula>
    </cfRule>
    <cfRule type="expression" dxfId="4898" priority="277">
      <formula>D124="FILTER TYPE"</formula>
    </cfRule>
    <cfRule type="expression" dxfId="4897" priority="276">
      <formula>D124="WW PODS"</formula>
    </cfRule>
    <cfRule type="expression" dxfId="4896" priority="279">
      <formula>(D116="CANOPY TYPE")</formula>
    </cfRule>
  </conditionalFormatting>
  <conditionalFormatting sqref="E126">
    <cfRule type="containsText" dxfId="4895" priority="309" operator="containsText" text="LONG ">
      <formula>NOT(ISERROR(SEARCH("LONG ",E126)))</formula>
    </cfRule>
  </conditionalFormatting>
  <conditionalFormatting sqref="E131">
    <cfRule type="expression" dxfId="4894" priority="179">
      <formula>AND((ISNUMBER(SEARCH("I-MUAP",$D$14))),E131&lt;2500)</formula>
    </cfRule>
    <cfRule type="cellIs" dxfId="4893" priority="181" operator="greaterThan">
      <formula>2000</formula>
    </cfRule>
    <cfRule type="expression" dxfId="4892" priority="180">
      <formula>ISNUMBER(SEARCH("I-MUAP",$D$14))</formula>
    </cfRule>
  </conditionalFormatting>
  <conditionalFormatting sqref="E136:E137">
    <cfRule type="expression" dxfId="4891" priority="22">
      <formula>$C136="SELECT WORKS"</formula>
    </cfRule>
  </conditionalFormatting>
  <conditionalFormatting sqref="E141:E142">
    <cfRule type="expression" dxfId="4890" priority="102">
      <formula>D141="KSA"</formula>
    </cfRule>
    <cfRule type="expression" dxfId="4889" priority="103">
      <formula>(D133="CANOPY TYPE")</formula>
    </cfRule>
    <cfRule type="expression" dxfId="4888" priority="101">
      <formula>D141="FILTER TYPE"</formula>
    </cfRule>
    <cfRule type="expression" dxfId="4887" priority="100">
      <formula>D141="WW PODS"</formula>
    </cfRule>
  </conditionalFormatting>
  <conditionalFormatting sqref="E143">
    <cfRule type="containsText" dxfId="4886" priority="172" operator="containsText" text="LONG ">
      <formula>NOT(ISERROR(SEARCH("LONG ",E143)))</formula>
    </cfRule>
  </conditionalFormatting>
  <conditionalFormatting sqref="E148">
    <cfRule type="expression" dxfId="4885" priority="148">
      <formula>AND((ISNUMBER(SEARCH("I-MUAP",$D$14))),E148&lt;2500)</formula>
    </cfRule>
    <cfRule type="expression" dxfId="4884" priority="149">
      <formula>ISNUMBER(SEARCH("I-MUAP",$D$14))</formula>
    </cfRule>
    <cfRule type="cellIs" dxfId="4883" priority="150" operator="greaterThan">
      <formula>2000</formula>
    </cfRule>
  </conditionalFormatting>
  <conditionalFormatting sqref="E153:E154">
    <cfRule type="expression" dxfId="4882" priority="11">
      <formula>$C153="SELECT WORKS"</formula>
    </cfRule>
  </conditionalFormatting>
  <conditionalFormatting sqref="E158:E159">
    <cfRule type="expression" dxfId="4881" priority="88">
      <formula>(D150="CANOPY TYPE")</formula>
    </cfRule>
    <cfRule type="expression" dxfId="4880" priority="85">
      <formula>D158="WW PODS"</formula>
    </cfRule>
    <cfRule type="expression" dxfId="4879" priority="86">
      <formula>D158="FILTER TYPE"</formula>
    </cfRule>
    <cfRule type="expression" dxfId="4878" priority="87">
      <formula>D158="KSA"</formula>
    </cfRule>
  </conditionalFormatting>
  <conditionalFormatting sqref="E160">
    <cfRule type="containsText" dxfId="4877" priority="141" operator="containsText" text="LONG ">
      <formula>NOT(ISERROR(SEARCH("LONG ",E160)))</formula>
    </cfRule>
  </conditionalFormatting>
  <conditionalFormatting sqref="E165">
    <cfRule type="cellIs" dxfId="4876" priority="74" operator="greaterThan">
      <formula>2000</formula>
    </cfRule>
    <cfRule type="expression" dxfId="4875" priority="73">
      <formula>ISNUMBER(SEARCH("I-MUAP",$D$14))</formula>
    </cfRule>
    <cfRule type="expression" dxfId="4874" priority="72">
      <formula>AND((ISNUMBER(SEARCH("I-MUAP",$D$14))),E165&lt;2500)</formula>
    </cfRule>
  </conditionalFormatting>
  <conditionalFormatting sqref="E170:E171">
    <cfRule type="expression" dxfId="4873" priority="6">
      <formula>$C170="SELECT WORKS"</formula>
    </cfRule>
  </conditionalFormatting>
  <conditionalFormatting sqref="E175:E176">
    <cfRule type="expression" dxfId="4872" priority="32">
      <formula>D175="WW PODS"</formula>
    </cfRule>
    <cfRule type="expression" dxfId="4871" priority="33">
      <formula>D175="FILTER TYPE"</formula>
    </cfRule>
    <cfRule type="expression" dxfId="4870" priority="34">
      <formula>D175="KSA"</formula>
    </cfRule>
    <cfRule type="expression" dxfId="4869" priority="35">
      <formula>(D167="CANOPY TYPE")</formula>
    </cfRule>
  </conditionalFormatting>
  <conditionalFormatting sqref="E177">
    <cfRule type="containsText" dxfId="4868" priority="65" operator="containsText" text="LONG ">
      <formula>NOT(ISERROR(SEARCH("LONG ",E177)))</formula>
    </cfRule>
  </conditionalFormatting>
  <conditionalFormatting sqref="E12:F12">
    <cfRule type="cellIs" dxfId="4867" priority="681" operator="lessThan">
      <formula>1000</formula>
    </cfRule>
  </conditionalFormatting>
  <conditionalFormatting sqref="E14:F14">
    <cfRule type="cellIs" dxfId="4866" priority="678" operator="lessThan">
      <formula>1000</formula>
    </cfRule>
  </conditionalFormatting>
  <conditionalFormatting sqref="E25:F27">
    <cfRule type="expression" dxfId="4865" priority="615">
      <formula>($D$14="CANOPY TYPE")</formula>
    </cfRule>
  </conditionalFormatting>
  <conditionalFormatting sqref="E29:F29">
    <cfRule type="cellIs" dxfId="4864" priority="602" operator="lessThan">
      <formula>1000</formula>
    </cfRule>
  </conditionalFormatting>
  <conditionalFormatting sqref="E31:F31">
    <cfRule type="cellIs" dxfId="4863" priority="599" operator="lessThan">
      <formula>1000</formula>
    </cfRule>
  </conditionalFormatting>
  <conditionalFormatting sqref="E32:F32">
    <cfRule type="expression" dxfId="4862" priority="455">
      <formula>(C32="LIGHT SELECTION")</formula>
    </cfRule>
  </conditionalFormatting>
  <conditionalFormatting sqref="E42:F44">
    <cfRule type="expression" dxfId="4861" priority="584">
      <formula>($D$14="CANOPY TYPE")</formula>
    </cfRule>
  </conditionalFormatting>
  <conditionalFormatting sqref="E46:F46">
    <cfRule type="cellIs" dxfId="4860" priority="571" operator="lessThan">
      <formula>1000</formula>
    </cfRule>
  </conditionalFormatting>
  <conditionalFormatting sqref="E48:F48">
    <cfRule type="cellIs" dxfId="4859" priority="568" operator="lessThan">
      <formula>1000</formula>
    </cfRule>
  </conditionalFormatting>
  <conditionalFormatting sqref="E59:F61">
    <cfRule type="expression" dxfId="4858" priority="555">
      <formula>($D$14="CANOPY TYPE")</formula>
    </cfRule>
  </conditionalFormatting>
  <conditionalFormatting sqref="E63:F63">
    <cfRule type="cellIs" dxfId="4857" priority="542" operator="lessThan">
      <formula>1000</formula>
    </cfRule>
  </conditionalFormatting>
  <conditionalFormatting sqref="E65:F65">
    <cfRule type="cellIs" dxfId="4856" priority="539" operator="lessThan">
      <formula>1000</formula>
    </cfRule>
  </conditionalFormatting>
  <conditionalFormatting sqref="E66:F66">
    <cfRule type="expression" dxfId="4855" priority="448">
      <formula>(C66="LIGHT SELECTION")</formula>
    </cfRule>
  </conditionalFormatting>
  <conditionalFormatting sqref="E76:F78">
    <cfRule type="expression" dxfId="4854" priority="525">
      <formula>($D$14="CANOPY TYPE")</formula>
    </cfRule>
  </conditionalFormatting>
  <conditionalFormatting sqref="E80:F80">
    <cfRule type="cellIs" dxfId="4853" priority="512" operator="lessThan">
      <formula>1000</formula>
    </cfRule>
  </conditionalFormatting>
  <conditionalFormatting sqref="E82:F82">
    <cfRule type="cellIs" dxfId="4852" priority="509" operator="lessThan">
      <formula>1000</formula>
    </cfRule>
  </conditionalFormatting>
  <conditionalFormatting sqref="E83:F83">
    <cfRule type="expression" dxfId="4851" priority="444">
      <formula>(C83="LIGHT SELECTION")</formula>
    </cfRule>
  </conditionalFormatting>
  <conditionalFormatting sqref="E93:F95">
    <cfRule type="expression" dxfId="4850" priority="494">
      <formula>($D$14="CANOPY TYPE")</formula>
    </cfRule>
  </conditionalFormatting>
  <conditionalFormatting sqref="E97:F97">
    <cfRule type="cellIs" dxfId="4849" priority="481" operator="lessThan">
      <formula>1000</formula>
    </cfRule>
  </conditionalFormatting>
  <conditionalFormatting sqref="E99:F99">
    <cfRule type="cellIs" dxfId="4848" priority="478" operator="lessThan">
      <formula>1000</formula>
    </cfRule>
  </conditionalFormatting>
  <conditionalFormatting sqref="E100:F100">
    <cfRule type="expression" dxfId="4847" priority="440">
      <formula>(C100="LIGHT SELECTION")</formula>
    </cfRule>
  </conditionalFormatting>
  <conditionalFormatting sqref="E110:F112 E127:F129 E161:F163 E178:F180">
    <cfRule type="expression" dxfId="4846" priority="464">
      <formula>($D$14="CANOPY TYPE")</formula>
    </cfRule>
  </conditionalFormatting>
  <conditionalFormatting sqref="E114:F114">
    <cfRule type="cellIs" dxfId="4845" priority="313" operator="lessThan">
      <formula>1000</formula>
    </cfRule>
  </conditionalFormatting>
  <conditionalFormatting sqref="E116:F116">
    <cfRule type="cellIs" dxfId="4844" priority="310" operator="lessThan">
      <formula>1000</formula>
    </cfRule>
  </conditionalFormatting>
  <conditionalFormatting sqref="E117:F117">
    <cfRule type="expression" dxfId="4843" priority="294">
      <formula>(C117="LIGHT SELECTION")</formula>
    </cfRule>
  </conditionalFormatting>
  <conditionalFormatting sqref="E131:F131">
    <cfRule type="cellIs" dxfId="4842" priority="176" operator="lessThan">
      <formula>1000</formula>
    </cfRule>
  </conditionalFormatting>
  <conditionalFormatting sqref="E133:F133">
    <cfRule type="cellIs" dxfId="4841" priority="173" operator="lessThan">
      <formula>1000</formula>
    </cfRule>
  </conditionalFormatting>
  <conditionalFormatting sqref="E134:F134">
    <cfRule type="expression" dxfId="4840" priority="125">
      <formula>(C134="LIGHT SELECTION")</formula>
    </cfRule>
  </conditionalFormatting>
  <conditionalFormatting sqref="E144:F146">
    <cfRule type="expression" dxfId="4839" priority="158">
      <formula>($D$14="CANOPY TYPE")</formula>
    </cfRule>
  </conditionalFormatting>
  <conditionalFormatting sqref="E148:F148">
    <cfRule type="cellIs" dxfId="4838" priority="145" operator="lessThan">
      <formula>1000</formula>
    </cfRule>
  </conditionalFormatting>
  <conditionalFormatting sqref="E150:F150">
    <cfRule type="cellIs" dxfId="4837" priority="142" operator="lessThan">
      <formula>1000</formula>
    </cfRule>
  </conditionalFormatting>
  <conditionalFormatting sqref="E151:F151">
    <cfRule type="expression" dxfId="4836" priority="121">
      <formula>(C151="LIGHT SELECTION")</formula>
    </cfRule>
  </conditionalFormatting>
  <conditionalFormatting sqref="E165:F165">
    <cfRule type="cellIs" dxfId="4835" priority="69" operator="lessThan">
      <formula>1000</formula>
    </cfRule>
  </conditionalFormatting>
  <conditionalFormatting sqref="E167:F167">
    <cfRule type="cellIs" dxfId="4834" priority="66" operator="lessThan">
      <formula>1000</formula>
    </cfRule>
  </conditionalFormatting>
  <conditionalFormatting sqref="E168:F168">
    <cfRule type="expression" dxfId="4833" priority="50">
      <formula>(C168="LIGHT SELECTION")</formula>
    </cfRule>
  </conditionalFormatting>
  <conditionalFormatting sqref="F12">
    <cfRule type="cellIs" dxfId="4832" priority="682" operator="greaterThan">
      <formula>3001</formula>
    </cfRule>
  </conditionalFormatting>
  <conditionalFormatting sqref="F15">
    <cfRule type="expression" dxfId="4831" priority="457">
      <formula>(C15="LED STRIP")</formula>
    </cfRule>
    <cfRule type="expression" dxfId="4830" priority="670">
      <formula>(C15="LIGHT SELECTION")</formula>
    </cfRule>
    <cfRule type="expression" dxfId="4829" priority="672">
      <formula>(C15="FLO")</formula>
    </cfRule>
    <cfRule type="expression" dxfId="4828" priority="704">
      <formula>(D49="LIGHT SELECTION")</formula>
    </cfRule>
  </conditionalFormatting>
  <conditionalFormatting sqref="F22:F23">
    <cfRule type="expression" dxfId="4827" priority="702">
      <formula>(((I14*3600)/(C22*I11))^2+20)&gt;180</formula>
    </cfRule>
    <cfRule type="expression" dxfId="4826" priority="701" stopIfTrue="1">
      <formula>(ISNUMBER(SEARCH("UV",D14)))</formula>
    </cfRule>
    <cfRule type="expression" dxfId="4825" priority="700">
      <formula>(((I14*3600)/(C22*I11))^2+20)&gt;300</formula>
    </cfRule>
    <cfRule type="expression" dxfId="4824" priority="699" stopIfTrue="1">
      <formula>D14="canopy type"</formula>
    </cfRule>
    <cfRule type="expression" dxfId="4823" priority="698">
      <formula>D22="CENTREX"</formula>
    </cfRule>
    <cfRule type="expression" dxfId="4822" priority="697">
      <formula>D22="GRILLE"</formula>
    </cfRule>
    <cfRule type="expression" dxfId="4821" priority="696">
      <formula>D22="WW PODS"</formula>
    </cfRule>
    <cfRule type="expression" dxfId="4820" priority="695">
      <formula>D22="NF"</formula>
    </cfRule>
    <cfRule type="expression" dxfId="4819" priority="703">
      <formula>D22="KSA"</formula>
    </cfRule>
  </conditionalFormatting>
  <conditionalFormatting sqref="F24">
    <cfRule type="cellIs" dxfId="4818" priority="676" operator="lessThan">
      <formula>2100</formula>
    </cfRule>
  </conditionalFormatting>
  <conditionalFormatting sqref="F29">
    <cfRule type="cellIs" dxfId="4817" priority="603" operator="greaterThan">
      <formula>3001</formula>
    </cfRule>
  </conditionalFormatting>
  <conditionalFormatting sqref="F32">
    <cfRule type="expression" dxfId="4816" priority="456">
      <formula>(C32="FLO")</formula>
    </cfRule>
    <cfRule type="expression" dxfId="4815" priority="453">
      <formula>(C32="LED STRIP")</formula>
    </cfRule>
    <cfRule type="expression" dxfId="4814" priority="454">
      <formula>(C32="LIGHT SELECTION")</formula>
    </cfRule>
  </conditionalFormatting>
  <conditionalFormatting sqref="F39:F40">
    <cfRule type="expression" dxfId="4813" priority="400">
      <formula>(((I31*3600)/(C39*I28))^2+20)&gt;180</formula>
    </cfRule>
    <cfRule type="expression" dxfId="4812" priority="399" stopIfTrue="1">
      <formula>(ISNUMBER(SEARCH("UV",D31)))</formula>
    </cfRule>
    <cfRule type="expression" dxfId="4811" priority="398">
      <formula>(((I31*3600)/(C39*I28))^2+20)&gt;300</formula>
    </cfRule>
    <cfRule type="expression" dxfId="4810" priority="397" stopIfTrue="1">
      <formula>D31="canopy type"</formula>
    </cfRule>
    <cfRule type="expression" dxfId="4809" priority="396">
      <formula>D39="CENTREX"</formula>
    </cfRule>
    <cfRule type="expression" dxfId="4808" priority="395">
      <formula>D39="GRILLE"</formula>
    </cfRule>
    <cfRule type="expression" dxfId="4807" priority="394">
      <formula>D39="WW PODS"</formula>
    </cfRule>
    <cfRule type="expression" dxfId="4806" priority="401">
      <formula>D39="KSA"</formula>
    </cfRule>
    <cfRule type="expression" dxfId="4805" priority="393">
      <formula>D39="NF"</formula>
    </cfRule>
  </conditionalFormatting>
  <conditionalFormatting sqref="F41">
    <cfRule type="cellIs" dxfId="4804" priority="597" operator="lessThan">
      <formula>2100</formula>
    </cfRule>
  </conditionalFormatting>
  <conditionalFormatting sqref="F46">
    <cfRule type="cellIs" dxfId="4803" priority="572" operator="greaterThan">
      <formula>3001</formula>
    </cfRule>
  </conditionalFormatting>
  <conditionalFormatting sqref="F49">
    <cfRule type="expression" dxfId="4802" priority="451">
      <formula>(C49="LIGHT SELECTION")</formula>
    </cfRule>
    <cfRule type="expression" dxfId="4801" priority="705">
      <formula>(#REF!="LIGHT SELECTION")</formula>
    </cfRule>
    <cfRule type="expression" dxfId="4800" priority="452">
      <formula>(C49="FLO")</formula>
    </cfRule>
    <cfRule type="expression" dxfId="4799" priority="450">
      <formula>(C49="LED STRIP")</formula>
    </cfRule>
  </conditionalFormatting>
  <conditionalFormatting sqref="F56:F57">
    <cfRule type="expression" dxfId="4798" priority="386">
      <formula>D56="KSA"</formula>
    </cfRule>
    <cfRule type="expression" dxfId="4797" priority="385">
      <formula>(((I48*3600)/(C56*I45))^2+20)&gt;180</formula>
    </cfRule>
    <cfRule type="expression" dxfId="4796" priority="384" stopIfTrue="1">
      <formula>(ISNUMBER(SEARCH("UV",D48)))</formula>
    </cfRule>
    <cfRule type="expression" dxfId="4795" priority="382" stopIfTrue="1">
      <formula>D48="canopy type"</formula>
    </cfRule>
    <cfRule type="expression" dxfId="4794" priority="381">
      <formula>D56="CENTREX"</formula>
    </cfRule>
    <cfRule type="expression" dxfId="4793" priority="380">
      <formula>D56="GRILLE"</formula>
    </cfRule>
    <cfRule type="expression" dxfId="4792" priority="379">
      <formula>D56="WW PODS"</formula>
    </cfRule>
    <cfRule type="expression" dxfId="4791" priority="378">
      <formula>D56="NF"</formula>
    </cfRule>
    <cfRule type="expression" dxfId="4790" priority="383">
      <formula>(((I48*3600)/(C56*I45))^2+20)&gt;300</formula>
    </cfRule>
  </conditionalFormatting>
  <conditionalFormatting sqref="F58">
    <cfRule type="cellIs" dxfId="4789" priority="566" operator="lessThan">
      <formula>2100</formula>
    </cfRule>
  </conditionalFormatting>
  <conditionalFormatting sqref="F63">
    <cfRule type="cellIs" dxfId="4788" priority="543" operator="greaterThan">
      <formula>3001</formula>
    </cfRule>
  </conditionalFormatting>
  <conditionalFormatting sqref="F66">
    <cfRule type="expression" dxfId="4787" priority="447">
      <formula>(C66="LIGHT SELECTION")</formula>
    </cfRule>
    <cfRule type="expression" dxfId="4786" priority="449">
      <formula>(C66="FLO")</formula>
    </cfRule>
    <cfRule type="expression" dxfId="4785" priority="446">
      <formula>(C66="LED STRIP")</formula>
    </cfRule>
  </conditionalFormatting>
  <conditionalFormatting sqref="F73:F74">
    <cfRule type="expression" dxfId="4784" priority="363">
      <formula>D73="NF"</formula>
    </cfRule>
    <cfRule type="expression" dxfId="4783" priority="371">
      <formula>D73="KSA"</formula>
    </cfRule>
    <cfRule type="expression" dxfId="4782" priority="370">
      <formula>(((I65*3600)/(C73*I62))^2+20)&gt;180</formula>
    </cfRule>
    <cfRule type="expression" dxfId="4781" priority="369" stopIfTrue="1">
      <formula>(ISNUMBER(SEARCH("UV",D65)))</formula>
    </cfRule>
    <cfRule type="expression" dxfId="4780" priority="368">
      <formula>(((I65*3600)/(C73*I62))^2+20)&gt;300</formula>
    </cfRule>
    <cfRule type="expression" dxfId="4779" priority="367" stopIfTrue="1">
      <formula>D65="canopy type"</formula>
    </cfRule>
    <cfRule type="expression" dxfId="4778" priority="366">
      <formula>D73="CENTREX"</formula>
    </cfRule>
    <cfRule type="expression" dxfId="4777" priority="365">
      <formula>D73="GRILLE"</formula>
    </cfRule>
    <cfRule type="expression" dxfId="4776" priority="364">
      <formula>D73="WW PODS"</formula>
    </cfRule>
  </conditionalFormatting>
  <conditionalFormatting sqref="F75">
    <cfRule type="cellIs" dxfId="4775" priority="537" operator="lessThan">
      <formula>2100</formula>
    </cfRule>
  </conditionalFormatting>
  <conditionalFormatting sqref="F80">
    <cfRule type="cellIs" dxfId="4774" priority="513" operator="greaterThan">
      <formula>3001</formula>
    </cfRule>
  </conditionalFormatting>
  <conditionalFormatting sqref="F83">
    <cfRule type="expression" dxfId="4773" priority="442">
      <formula>(C83="LED STRIP")</formula>
    </cfRule>
    <cfRule type="expression" dxfId="4772" priority="443">
      <formula>(C83="LIGHT SELECTION")</formula>
    </cfRule>
    <cfRule type="expression" dxfId="4771" priority="445">
      <formula>(C83="FLO")</formula>
    </cfRule>
  </conditionalFormatting>
  <conditionalFormatting sqref="F90:F91">
    <cfRule type="expression" dxfId="4770" priority="351">
      <formula>D90="CENTREX"</formula>
    </cfRule>
    <cfRule type="expression" dxfId="4769" priority="352" stopIfTrue="1">
      <formula>D82="canopy type"</formula>
    </cfRule>
    <cfRule type="expression" dxfId="4768" priority="348">
      <formula>D90="NF"</formula>
    </cfRule>
    <cfRule type="expression" dxfId="4767" priority="349">
      <formula>D90="WW PODS"</formula>
    </cfRule>
    <cfRule type="expression" dxfId="4766" priority="350">
      <formula>D90="GRILLE"</formula>
    </cfRule>
    <cfRule type="expression" dxfId="4765" priority="356">
      <formula>D90="KSA"</formula>
    </cfRule>
    <cfRule type="expression" dxfId="4764" priority="355">
      <formula>(((I82*3600)/(C90*I79))^2+20)&gt;180</formula>
    </cfRule>
    <cfRule type="expression" dxfId="4763" priority="354" stopIfTrue="1">
      <formula>(ISNUMBER(SEARCH("UV",D82)))</formula>
    </cfRule>
    <cfRule type="expression" dxfId="4762" priority="353">
      <formula>(((I82*3600)/(C90*I79))^2+20)&gt;300</formula>
    </cfRule>
  </conditionalFormatting>
  <conditionalFormatting sqref="F92">
    <cfRule type="cellIs" dxfId="4761" priority="507" operator="lessThan">
      <formula>2100</formula>
    </cfRule>
  </conditionalFormatting>
  <conditionalFormatting sqref="F97">
    <cfRule type="cellIs" dxfId="4760" priority="482" operator="greaterThan">
      <formula>3001</formula>
    </cfRule>
  </conditionalFormatting>
  <conditionalFormatting sqref="F100">
    <cfRule type="expression" dxfId="4759" priority="441">
      <formula>(C100="FLO")</formula>
    </cfRule>
    <cfRule type="expression" dxfId="4758" priority="439">
      <formula>(C100="LIGHT SELECTION")</formula>
    </cfRule>
    <cfRule type="expression" dxfId="4757" priority="438">
      <formula>(C100="LED STRIP")</formula>
    </cfRule>
  </conditionalFormatting>
  <conditionalFormatting sqref="F107:F108">
    <cfRule type="expression" dxfId="4756" priority="334">
      <formula>D107="WW PODS"</formula>
    </cfRule>
    <cfRule type="expression" dxfId="4755" priority="337" stopIfTrue="1">
      <formula>D99="canopy type"</formula>
    </cfRule>
    <cfRule type="expression" dxfId="4754" priority="333">
      <formula>D107="NF"</formula>
    </cfRule>
    <cfRule type="expression" dxfId="4753" priority="335">
      <formula>D107="GRILLE"</formula>
    </cfRule>
    <cfRule type="expression" dxfId="4752" priority="341">
      <formula>D107="KSA"</formula>
    </cfRule>
    <cfRule type="expression" dxfId="4751" priority="336">
      <formula>D107="CENTREX"</formula>
    </cfRule>
    <cfRule type="expression" dxfId="4750" priority="340">
      <formula>(((I99*3600)/(C107*I96))^2+20)&gt;180</formula>
    </cfRule>
    <cfRule type="expression" dxfId="4749" priority="339" stopIfTrue="1">
      <formula>(ISNUMBER(SEARCH("UV",D99)))</formula>
    </cfRule>
    <cfRule type="expression" dxfId="4748" priority="338">
      <formula>(((I99*3600)/(C107*I96))^2+20)&gt;300</formula>
    </cfRule>
  </conditionalFormatting>
  <conditionalFormatting sqref="F109">
    <cfRule type="cellIs" dxfId="4747" priority="476" operator="lessThan">
      <formula>2100</formula>
    </cfRule>
  </conditionalFormatting>
  <conditionalFormatting sqref="F114">
    <cfRule type="cellIs" dxfId="4746" priority="314" operator="greaterThan">
      <formula>3001</formula>
    </cfRule>
  </conditionalFormatting>
  <conditionalFormatting sqref="F117">
    <cfRule type="expression" dxfId="4745" priority="293">
      <formula>(C117="LIGHT SELECTION")</formula>
    </cfRule>
    <cfRule type="expression" dxfId="4744" priority="292">
      <formula>(C117="LED STRIP")</formula>
    </cfRule>
    <cfRule type="expression" dxfId="4743" priority="295">
      <formula>(C117="FLO")</formula>
    </cfRule>
  </conditionalFormatting>
  <conditionalFormatting sqref="F124:F125">
    <cfRule type="expression" dxfId="4742" priority="280">
      <formula>D124="NF"</formula>
    </cfRule>
    <cfRule type="expression" dxfId="4741" priority="282">
      <formula>D124="GRILLE"</formula>
    </cfRule>
    <cfRule type="expression" dxfId="4740" priority="283">
      <formula>D124="CENTREX"</formula>
    </cfRule>
    <cfRule type="expression" dxfId="4739" priority="284" stopIfTrue="1">
      <formula>D116="canopy type"</formula>
    </cfRule>
    <cfRule type="expression" dxfId="4738" priority="285">
      <formula>(((I116*3600)/(C124*I113))^2+20)&gt;300</formula>
    </cfRule>
    <cfRule type="expression" dxfId="4737" priority="286" stopIfTrue="1">
      <formula>(ISNUMBER(SEARCH("UV",D116)))</formula>
    </cfRule>
    <cfRule type="expression" dxfId="4736" priority="287">
      <formula>(((I116*3600)/(C124*I113))^2+20)&gt;180</formula>
    </cfRule>
    <cfRule type="expression" dxfId="4735" priority="288">
      <formula>D124="KSA"</formula>
    </cfRule>
    <cfRule type="expression" dxfId="4734" priority="281">
      <formula>D124="WW PODS"</formula>
    </cfRule>
  </conditionalFormatting>
  <conditionalFormatting sqref="F126">
    <cfRule type="cellIs" dxfId="4733" priority="308" operator="lessThan">
      <formula>2100</formula>
    </cfRule>
  </conditionalFormatting>
  <conditionalFormatting sqref="F131">
    <cfRule type="cellIs" dxfId="4732" priority="177" operator="greaterThan">
      <formula>3001</formula>
    </cfRule>
  </conditionalFormatting>
  <conditionalFormatting sqref="F134">
    <cfRule type="expression" dxfId="4731" priority="126">
      <formula>(C134="FLO")</formula>
    </cfRule>
    <cfRule type="expression" dxfId="4730" priority="124">
      <formula>(C134="LIGHT SELECTION")</formula>
    </cfRule>
    <cfRule type="expression" dxfId="4729" priority="123">
      <formula>(C134="LED STRIP")</formula>
    </cfRule>
  </conditionalFormatting>
  <conditionalFormatting sqref="F141:F142">
    <cfRule type="expression" dxfId="4728" priority="112">
      <formula>D141="KSA"</formula>
    </cfRule>
    <cfRule type="expression" dxfId="4727" priority="110" stopIfTrue="1">
      <formula>(ISNUMBER(SEARCH("UV",D133)))</formula>
    </cfRule>
    <cfRule type="expression" dxfId="4726" priority="109">
      <formula>(((I133*3600)/(C141*I130))^2+20)&gt;300</formula>
    </cfRule>
    <cfRule type="expression" dxfId="4725" priority="104">
      <formula>D141="NF"</formula>
    </cfRule>
    <cfRule type="expression" dxfId="4724" priority="108" stopIfTrue="1">
      <formula>D133="canopy type"</formula>
    </cfRule>
    <cfRule type="expression" dxfId="4723" priority="107">
      <formula>D141="CENTREX"</formula>
    </cfRule>
    <cfRule type="expression" dxfId="4722" priority="106">
      <formula>D141="GRILLE"</formula>
    </cfRule>
    <cfRule type="expression" dxfId="4721" priority="105">
      <formula>D141="WW PODS"</formula>
    </cfRule>
    <cfRule type="expression" dxfId="4720" priority="111">
      <formula>(((I133*3600)/(C141*I130))^2+20)&gt;180</formula>
    </cfRule>
  </conditionalFormatting>
  <conditionalFormatting sqref="F143">
    <cfRule type="cellIs" dxfId="4719" priority="171" operator="lessThan">
      <formula>2100</formula>
    </cfRule>
  </conditionalFormatting>
  <conditionalFormatting sqref="F148">
    <cfRule type="cellIs" dxfId="4718" priority="146" operator="greaterThan">
      <formula>3001</formula>
    </cfRule>
  </conditionalFormatting>
  <conditionalFormatting sqref="F151">
    <cfRule type="expression" dxfId="4717" priority="120">
      <formula>(C151="LIGHT SELECTION")</formula>
    </cfRule>
    <cfRule type="expression" dxfId="4716" priority="122">
      <formula>(C151="FLO")</formula>
    </cfRule>
    <cfRule type="expression" dxfId="4715" priority="119">
      <formula>(C151="LED STRIP")</formula>
    </cfRule>
  </conditionalFormatting>
  <conditionalFormatting sqref="F158:F159">
    <cfRule type="expression" dxfId="4714" priority="94">
      <formula>(((I150*3600)/(C158*I147))^2+20)&gt;300</formula>
    </cfRule>
    <cfRule type="expression" dxfId="4713" priority="95" stopIfTrue="1">
      <formula>(ISNUMBER(SEARCH("UV",D150)))</formula>
    </cfRule>
    <cfRule type="expression" dxfId="4712" priority="89">
      <formula>D158="NF"</formula>
    </cfRule>
    <cfRule type="expression" dxfId="4711" priority="96">
      <formula>(((I150*3600)/(C158*I147))^2+20)&gt;180</formula>
    </cfRule>
    <cfRule type="expression" dxfId="4710" priority="90">
      <formula>D158="WW PODS"</formula>
    </cfRule>
    <cfRule type="expression" dxfId="4709" priority="91">
      <formula>D158="GRILLE"</formula>
    </cfRule>
    <cfRule type="expression" dxfId="4708" priority="92">
      <formula>D158="CENTREX"</formula>
    </cfRule>
    <cfRule type="expression" dxfId="4707" priority="97">
      <formula>D158="KSA"</formula>
    </cfRule>
    <cfRule type="expression" dxfId="4706" priority="93" stopIfTrue="1">
      <formula>D150="canopy type"</formula>
    </cfRule>
  </conditionalFormatting>
  <conditionalFormatting sqref="F160">
    <cfRule type="cellIs" dxfId="4705" priority="140" operator="lessThan">
      <formula>2100</formula>
    </cfRule>
  </conditionalFormatting>
  <conditionalFormatting sqref="F165">
    <cfRule type="cellIs" dxfId="4704" priority="70" operator="greaterThan">
      <formula>3001</formula>
    </cfRule>
  </conditionalFormatting>
  <conditionalFormatting sqref="F168">
    <cfRule type="expression" dxfId="4703" priority="48">
      <formula>(C168="LED STRIP")</formula>
    </cfRule>
    <cfRule type="expression" dxfId="4702" priority="49">
      <formula>(C168="LIGHT SELECTION")</formula>
    </cfRule>
    <cfRule type="expression" dxfId="4701" priority="51">
      <formula>(C168="FLO")</formula>
    </cfRule>
  </conditionalFormatting>
  <conditionalFormatting sqref="F175:F176">
    <cfRule type="expression" dxfId="4700" priority="38">
      <formula>D175="GRILLE"</formula>
    </cfRule>
    <cfRule type="expression" dxfId="4699" priority="44">
      <formula>D175="KSA"</formula>
    </cfRule>
    <cfRule type="expression" dxfId="4698" priority="42" stopIfTrue="1">
      <formula>(ISNUMBER(SEARCH("UV",D167)))</formula>
    </cfRule>
    <cfRule type="expression" dxfId="4697" priority="41">
      <formula>(((I167*3600)/(C175*I164))^2+20)&gt;300</formula>
    </cfRule>
    <cfRule type="expression" dxfId="4696" priority="37">
      <formula>D175="WW PODS"</formula>
    </cfRule>
    <cfRule type="expression" dxfId="4695" priority="40" stopIfTrue="1">
      <formula>D167="canopy type"</formula>
    </cfRule>
    <cfRule type="expression" dxfId="4694" priority="36">
      <formula>D175="NF"</formula>
    </cfRule>
    <cfRule type="expression" dxfId="4693" priority="43">
      <formula>(((I167*3600)/(C175*I164))^2+20)&gt;180</formula>
    </cfRule>
    <cfRule type="expression" dxfId="4692" priority="39">
      <formula>D175="CENTREX"</formula>
    </cfRule>
  </conditionalFormatting>
  <conditionalFormatting sqref="F177">
    <cfRule type="cellIs" dxfId="4691" priority="64" operator="lessThan">
      <formula>2100</formula>
    </cfRule>
  </conditionalFormatting>
  <conditionalFormatting sqref="G11">
    <cfRule type="expression" dxfId="4690" priority="684">
      <formula>((F14-50)/H14)&lt;950</formula>
    </cfRule>
  </conditionalFormatting>
  <conditionalFormatting sqref="G12">
    <cfRule type="expression" dxfId="4689" priority="683">
      <formula>((F14-50)/H14)&lt;950</formula>
    </cfRule>
  </conditionalFormatting>
  <conditionalFormatting sqref="G14">
    <cfRule type="cellIs" dxfId="4688" priority="679" operator="lessThan">
      <formula>400</formula>
    </cfRule>
  </conditionalFormatting>
  <conditionalFormatting sqref="G28">
    <cfRule type="expression" dxfId="4687" priority="626">
      <formula>((F31-50)/H31)&lt;950</formula>
    </cfRule>
  </conditionalFormatting>
  <conditionalFormatting sqref="G29">
    <cfRule type="expression" dxfId="4686" priority="604">
      <formula>((F31-50)/H31)&lt;950</formula>
    </cfRule>
  </conditionalFormatting>
  <conditionalFormatting sqref="G31">
    <cfRule type="cellIs" dxfId="4685" priority="600" operator="lessThan">
      <formula>400</formula>
    </cfRule>
  </conditionalFormatting>
  <conditionalFormatting sqref="G45">
    <cfRule type="expression" dxfId="4684" priority="643">
      <formula>((F48-50)/H48)&lt;950</formula>
    </cfRule>
  </conditionalFormatting>
  <conditionalFormatting sqref="G46">
    <cfRule type="expression" dxfId="4683" priority="573">
      <formula>((F48-50)/H48)&lt;950</formula>
    </cfRule>
  </conditionalFormatting>
  <conditionalFormatting sqref="G48">
    <cfRule type="cellIs" dxfId="4682" priority="569" operator="lessThan">
      <formula>400</formula>
    </cfRule>
  </conditionalFormatting>
  <conditionalFormatting sqref="G62">
    <cfRule type="expression" dxfId="4681" priority="644">
      <formula>((F65-50)/H65)&lt;950</formula>
    </cfRule>
  </conditionalFormatting>
  <conditionalFormatting sqref="G63">
    <cfRule type="expression" dxfId="4680" priority="544">
      <formula>((F65-50)/H65)&lt;950</formula>
    </cfRule>
  </conditionalFormatting>
  <conditionalFormatting sqref="G65">
    <cfRule type="cellIs" dxfId="4679" priority="540" operator="lessThan">
      <formula>400</formula>
    </cfRule>
  </conditionalFormatting>
  <conditionalFormatting sqref="G79">
    <cfRule type="expression" dxfId="4678" priority="645">
      <formula>((F82-50)/H82)&lt;950</formula>
    </cfRule>
  </conditionalFormatting>
  <conditionalFormatting sqref="G80">
    <cfRule type="expression" dxfId="4677" priority="514">
      <formula>((F82-50)/H82)&lt;950</formula>
    </cfRule>
  </conditionalFormatting>
  <conditionalFormatting sqref="G82">
    <cfRule type="cellIs" dxfId="4676" priority="510" operator="lessThan">
      <formula>400</formula>
    </cfRule>
  </conditionalFormatting>
  <conditionalFormatting sqref="G96">
    <cfRule type="expression" dxfId="4675" priority="653">
      <formula>((F99-50)/H99)&lt;950</formula>
    </cfRule>
  </conditionalFormatting>
  <conditionalFormatting sqref="G97">
    <cfRule type="expression" dxfId="4674" priority="483">
      <formula>((F99-50)/H99)&lt;950</formula>
    </cfRule>
  </conditionalFormatting>
  <conditionalFormatting sqref="G99">
    <cfRule type="cellIs" dxfId="4673" priority="479" operator="lessThan">
      <formula>400</formula>
    </cfRule>
  </conditionalFormatting>
  <conditionalFormatting sqref="G113">
    <cfRule type="expression" dxfId="4672" priority="326">
      <formula>((F116-50)/H116)&lt;950</formula>
    </cfRule>
  </conditionalFormatting>
  <conditionalFormatting sqref="G114">
    <cfRule type="expression" dxfId="4671" priority="315">
      <formula>((F116-50)/H116)&lt;950</formula>
    </cfRule>
  </conditionalFormatting>
  <conditionalFormatting sqref="G116">
    <cfRule type="cellIs" dxfId="4670" priority="311" operator="lessThan">
      <formula>400</formula>
    </cfRule>
  </conditionalFormatting>
  <conditionalFormatting sqref="G130">
    <cfRule type="expression" dxfId="4669" priority="190">
      <formula>((F133-50)/H133)&lt;950</formula>
    </cfRule>
  </conditionalFormatting>
  <conditionalFormatting sqref="G131">
    <cfRule type="expression" dxfId="4668" priority="178">
      <formula>((F133-50)/H133)&lt;950</formula>
    </cfRule>
  </conditionalFormatting>
  <conditionalFormatting sqref="G133">
    <cfRule type="cellIs" dxfId="4667" priority="174" operator="lessThan">
      <formula>400</formula>
    </cfRule>
  </conditionalFormatting>
  <conditionalFormatting sqref="G147">
    <cfRule type="expression" dxfId="4666" priority="191">
      <formula>((F150-50)/H150)&lt;950</formula>
    </cfRule>
  </conditionalFormatting>
  <conditionalFormatting sqref="G148">
    <cfRule type="expression" dxfId="4665" priority="147">
      <formula>((F150-50)/H150)&lt;950</formula>
    </cfRule>
  </conditionalFormatting>
  <conditionalFormatting sqref="G150">
    <cfRule type="cellIs" dxfId="4664" priority="143" operator="lessThan">
      <formula>400</formula>
    </cfRule>
  </conditionalFormatting>
  <conditionalFormatting sqref="G164">
    <cfRule type="expression" dxfId="4663" priority="82">
      <formula>((F167-50)/H167)&lt;950</formula>
    </cfRule>
  </conditionalFormatting>
  <conditionalFormatting sqref="G165">
    <cfRule type="expression" dxfId="4662" priority="71">
      <formula>((F167-50)/H167)&lt;950</formula>
    </cfRule>
  </conditionalFormatting>
  <conditionalFormatting sqref="G167">
    <cfRule type="cellIs" dxfId="4661" priority="67" operator="lessThan">
      <formula>400</formula>
    </cfRule>
  </conditionalFormatting>
  <conditionalFormatting sqref="I14">
    <cfRule type="cellIs" dxfId="4660" priority="680" operator="lessThan">
      <formula>0.1</formula>
    </cfRule>
  </conditionalFormatting>
  <conditionalFormatting sqref="I31">
    <cfRule type="cellIs" dxfId="4659" priority="601" operator="lessThan">
      <formula>0.1</formula>
    </cfRule>
  </conditionalFormatting>
  <conditionalFormatting sqref="I48">
    <cfRule type="cellIs" dxfId="4658" priority="570" operator="lessThan">
      <formula>0.1</formula>
    </cfRule>
  </conditionalFormatting>
  <conditionalFormatting sqref="I65">
    <cfRule type="cellIs" dxfId="4657" priority="541" operator="lessThan">
      <formula>0.1</formula>
    </cfRule>
  </conditionalFormatting>
  <conditionalFormatting sqref="I82">
    <cfRule type="cellIs" dxfId="4656" priority="511" operator="lessThan">
      <formula>0.1</formula>
    </cfRule>
  </conditionalFormatting>
  <conditionalFormatting sqref="I99">
    <cfRule type="cellIs" dxfId="4655" priority="480" operator="lessThan">
      <formula>0.1</formula>
    </cfRule>
  </conditionalFormatting>
  <conditionalFormatting sqref="I116">
    <cfRule type="cellIs" dxfId="4654" priority="312" operator="lessThan">
      <formula>0.1</formula>
    </cfRule>
  </conditionalFormatting>
  <conditionalFormatting sqref="I133">
    <cfRule type="cellIs" dxfId="4653" priority="175" operator="lessThan">
      <formula>0.1</formula>
    </cfRule>
  </conditionalFormatting>
  <conditionalFormatting sqref="I150">
    <cfRule type="cellIs" dxfId="4652" priority="144" operator="lessThan">
      <formula>0.1</formula>
    </cfRule>
  </conditionalFormatting>
  <conditionalFormatting sqref="I167">
    <cfRule type="cellIs" dxfId="4651" priority="68" operator="lessThan">
      <formula>0.1</formula>
    </cfRule>
  </conditionalFormatting>
  <conditionalFormatting sqref="J14:J27">
    <cfRule type="cellIs" dxfId="4650" priority="404" operator="greaterThan">
      <formula>0</formula>
    </cfRule>
  </conditionalFormatting>
  <conditionalFormatting sqref="J31:J44">
    <cfRule type="cellIs" dxfId="4649" priority="261" operator="greaterThan">
      <formula>0</formula>
    </cfRule>
  </conditionalFormatting>
  <conditionalFormatting sqref="J48:J61">
    <cfRule type="cellIs" dxfId="4648" priority="250" operator="greaterThan">
      <formula>0</formula>
    </cfRule>
  </conditionalFormatting>
  <conditionalFormatting sqref="J65:J78">
    <cfRule type="cellIs" dxfId="4647" priority="239" operator="greaterThan">
      <formula>0</formula>
    </cfRule>
  </conditionalFormatting>
  <conditionalFormatting sqref="J82:J95">
    <cfRule type="cellIs" dxfId="4646" priority="228" operator="greaterThan">
      <formula>0</formula>
    </cfRule>
  </conditionalFormatting>
  <conditionalFormatting sqref="J99:J112">
    <cfRule type="cellIs" dxfId="4645" priority="217" operator="greaterThan">
      <formula>0</formula>
    </cfRule>
  </conditionalFormatting>
  <conditionalFormatting sqref="J116:J129 J167:J180">
    <cfRule type="cellIs" dxfId="4644" priority="206" operator="greaterThan">
      <formula>0</formula>
    </cfRule>
  </conditionalFormatting>
  <conditionalFormatting sqref="J133:J146">
    <cfRule type="cellIs" dxfId="4643" priority="19" operator="greaterThan">
      <formula>0</formula>
    </cfRule>
  </conditionalFormatting>
  <conditionalFormatting sqref="J150:J163">
    <cfRule type="cellIs" dxfId="4642" priority="8" operator="greaterThan">
      <formula>0</formula>
    </cfRule>
  </conditionalFormatting>
  <conditionalFormatting sqref="J183:J197">
    <cfRule type="expression" dxfId="4641" priority="654">
      <formula>C183&gt;0</formula>
    </cfRule>
  </conditionalFormatting>
  <conditionalFormatting sqref="J199">
    <cfRule type="expression" dxfId="4640" priority="659">
      <formula>#REF!="EURO"</formula>
    </cfRule>
  </conditionalFormatting>
  <conditionalFormatting sqref="K14:K27">
    <cfRule type="cellIs" dxfId="4639" priority="418" operator="greaterThan">
      <formula>0</formula>
    </cfRule>
  </conditionalFormatting>
  <conditionalFormatting sqref="K31:K44">
    <cfRule type="cellIs" dxfId="4638" priority="262" operator="greaterThan">
      <formula>0</formula>
    </cfRule>
  </conditionalFormatting>
  <conditionalFormatting sqref="K48:K61">
    <cfRule type="cellIs" dxfId="4637" priority="251" operator="greaterThan">
      <formula>0</formula>
    </cfRule>
  </conditionalFormatting>
  <conditionalFormatting sqref="K65:K78">
    <cfRule type="cellIs" dxfId="4636" priority="240" operator="greaterThan">
      <formula>0</formula>
    </cfRule>
  </conditionalFormatting>
  <conditionalFormatting sqref="K82:K95">
    <cfRule type="cellIs" dxfId="4635" priority="229" operator="greaterThan">
      <formula>0</formula>
    </cfRule>
  </conditionalFormatting>
  <conditionalFormatting sqref="K99:K112">
    <cfRule type="cellIs" dxfId="4634" priority="218" operator="greaterThan">
      <formula>0</formula>
    </cfRule>
  </conditionalFormatting>
  <conditionalFormatting sqref="K116:K129 K167:K180">
    <cfRule type="cellIs" dxfId="4633" priority="207" operator="greaterThan">
      <formula>0</formula>
    </cfRule>
  </conditionalFormatting>
  <conditionalFormatting sqref="K133:K146">
    <cfRule type="cellIs" dxfId="4632" priority="20" operator="greaterThan">
      <formula>0</formula>
    </cfRule>
  </conditionalFormatting>
  <conditionalFormatting sqref="K150:K163">
    <cfRule type="cellIs" dxfId="4631" priority="9" operator="greaterThan">
      <formula>0</formula>
    </cfRule>
  </conditionalFormatting>
  <conditionalFormatting sqref="K183:K197">
    <cfRule type="cellIs" dxfId="4630" priority="661" operator="greaterThan">
      <formula>0</formula>
    </cfRule>
  </conditionalFormatting>
  <conditionalFormatting sqref="K199">
    <cfRule type="expression" dxfId="4629" priority="657">
      <formula>$B$9="USD"</formula>
    </cfRule>
    <cfRule type="expression" dxfId="4628" priority="658">
      <formula>$B$9="EURO"</formula>
    </cfRule>
    <cfRule type="expression" dxfId="4627" priority="655">
      <formula>$B$9="PLN"</formula>
    </cfRule>
    <cfRule type="expression" dxfId="4626" priority="656">
      <formula>$B$9="CZK"</formula>
    </cfRule>
  </conditionalFormatting>
  <conditionalFormatting sqref="L14:L27">
    <cfRule type="expression" dxfId="4625" priority="415">
      <formula>$C$9&lt;0</formula>
    </cfRule>
    <cfRule type="expression" dxfId="4624" priority="416">
      <formula>$C$9&gt;0</formula>
    </cfRule>
  </conditionalFormatting>
  <conditionalFormatting sqref="L31:L44">
    <cfRule type="expression" dxfId="4623" priority="204">
      <formula>$C$9&lt;0</formula>
    </cfRule>
    <cfRule type="expression" dxfId="4622" priority="205">
      <formula>$C$9&gt;0</formula>
    </cfRule>
  </conditionalFormatting>
  <conditionalFormatting sqref="L48:L61">
    <cfRule type="expression" dxfId="4621" priority="202">
      <formula>$C$9&lt;0</formula>
    </cfRule>
    <cfRule type="expression" dxfId="4620" priority="203">
      <formula>$C$9&gt;0</formula>
    </cfRule>
  </conditionalFormatting>
  <conditionalFormatting sqref="L65:L78">
    <cfRule type="expression" dxfId="4619" priority="200">
      <formula>$C$9&lt;0</formula>
    </cfRule>
    <cfRule type="expression" dxfId="4618" priority="201">
      <formula>$C$9&gt;0</formula>
    </cfRule>
  </conditionalFormatting>
  <conditionalFormatting sqref="L82:L95">
    <cfRule type="expression" dxfId="4617" priority="198">
      <formula>$C$9&lt;0</formula>
    </cfRule>
    <cfRule type="expression" dxfId="4616" priority="199">
      <formula>$C$9&gt;0</formula>
    </cfRule>
  </conditionalFormatting>
  <conditionalFormatting sqref="L99:L112">
    <cfRule type="expression" dxfId="4615" priority="196">
      <formula>$C$9&lt;0</formula>
    </cfRule>
    <cfRule type="expression" dxfId="4614" priority="197">
      <formula>$C$9&gt;0</formula>
    </cfRule>
  </conditionalFormatting>
  <conditionalFormatting sqref="L116:L129 L167:L180">
    <cfRule type="expression" dxfId="4613" priority="194">
      <formula>$C$9&lt;0</formula>
    </cfRule>
    <cfRule type="expression" dxfId="4612" priority="195">
      <formula>$C$9&gt;0</formula>
    </cfRule>
  </conditionalFormatting>
  <conditionalFormatting sqref="L133:L146">
    <cfRule type="expression" dxfId="4611" priority="4">
      <formula>$C$9&gt;0</formula>
    </cfRule>
    <cfRule type="expression" dxfId="4610" priority="3">
      <formula>$C$9&lt;0</formula>
    </cfRule>
  </conditionalFormatting>
  <conditionalFormatting sqref="L150:L163">
    <cfRule type="expression" dxfId="4609" priority="2">
      <formula>$C$9&gt;0</formula>
    </cfRule>
    <cfRule type="expression" dxfId="4608" priority="1">
      <formula>$C$9&lt;0</formula>
    </cfRule>
  </conditionalFormatting>
  <conditionalFormatting sqref="L183:L197">
    <cfRule type="expression" dxfId="4607" priority="193">
      <formula>$C$9&gt;0</formula>
    </cfRule>
    <cfRule type="expression" dxfId="4606" priority="192">
      <formula>$C$9&lt;0</formula>
    </cfRule>
  </conditionalFormatting>
  <conditionalFormatting sqref="N9 N12">
    <cfRule type="expression" dxfId="4605" priority="694">
      <formula>$B$9="EURO"</formula>
    </cfRule>
    <cfRule type="expression" dxfId="4604" priority="693">
      <formula>$B$9="USD"</formula>
    </cfRule>
    <cfRule type="expression" dxfId="4603" priority="691">
      <formula>$B$9="PLN"</formula>
    </cfRule>
    <cfRule type="expression" dxfId="4602" priority="692">
      <formula>$B$9="CZK"</formula>
    </cfRule>
  </conditionalFormatting>
  <conditionalFormatting sqref="N14:N27">
    <cfRule type="cellIs" dxfId="4601" priority="630" operator="greaterThan">
      <formula>0</formula>
    </cfRule>
    <cfRule type="expression" dxfId="4600" priority="632">
      <formula>$B$9="USD"</formula>
    </cfRule>
    <cfRule type="expression" dxfId="4599" priority="633">
      <formula>$B$9="PLN"</formula>
    </cfRule>
    <cfRule type="expression" dxfId="4598" priority="634">
      <formula>$B$9="CZK"</formula>
    </cfRule>
    <cfRule type="expression" dxfId="4597" priority="631">
      <formula>$B$9="EURO"</formula>
    </cfRule>
  </conditionalFormatting>
  <conditionalFormatting sqref="N29">
    <cfRule type="expression" dxfId="4596" priority="610">
      <formula>$B$9="PLN"</formula>
    </cfRule>
    <cfRule type="expression" dxfId="4595" priority="612">
      <formula>$B$9="USD"</formula>
    </cfRule>
    <cfRule type="expression" dxfId="4594" priority="613">
      <formula>$B$9="EURO"</formula>
    </cfRule>
    <cfRule type="expression" dxfId="4593" priority="611">
      <formula>$B$9="CZK"</formula>
    </cfRule>
  </conditionalFormatting>
  <conditionalFormatting sqref="N31:N44">
    <cfRule type="expression" dxfId="4592" priority="266">
      <formula>$B$9="EURO"</formula>
    </cfRule>
    <cfRule type="expression" dxfId="4591" priority="267">
      <formula>$B$9="USD"</formula>
    </cfRule>
    <cfRule type="expression" dxfId="4590" priority="268">
      <formula>$B$9="PLN"</formula>
    </cfRule>
    <cfRule type="expression" dxfId="4589" priority="269">
      <formula>$B$9="CZK"</formula>
    </cfRule>
    <cfRule type="cellIs" dxfId="4588" priority="265" operator="greaterThan">
      <formula>0</formula>
    </cfRule>
  </conditionalFormatting>
  <conditionalFormatting sqref="N46">
    <cfRule type="expression" dxfId="4587" priority="580">
      <formula>$B$9="CZK"</formula>
    </cfRule>
    <cfRule type="expression" dxfId="4586" priority="582">
      <formula>$B$9="EURO"</formula>
    </cfRule>
    <cfRule type="expression" dxfId="4585" priority="579">
      <formula>$B$9="PLN"</formula>
    </cfRule>
    <cfRule type="expression" dxfId="4584" priority="581">
      <formula>$B$9="USD"</formula>
    </cfRule>
  </conditionalFormatting>
  <conditionalFormatting sqref="N48:N61">
    <cfRule type="expression" dxfId="4583" priority="257">
      <formula>$B$9="PLN"</formula>
    </cfRule>
    <cfRule type="expression" dxfId="4582" priority="258">
      <formula>$B$9="CZK"</formula>
    </cfRule>
    <cfRule type="cellIs" dxfId="4581" priority="254" operator="greaterThan">
      <formula>0</formula>
    </cfRule>
    <cfRule type="expression" dxfId="4580" priority="255">
      <formula>$B$9="EURO"</formula>
    </cfRule>
    <cfRule type="expression" dxfId="4579" priority="256">
      <formula>$B$9="USD"</formula>
    </cfRule>
  </conditionalFormatting>
  <conditionalFormatting sqref="N63">
    <cfRule type="expression" dxfId="4578" priority="550">
      <formula>$B$9="PLN"</formula>
    </cfRule>
    <cfRule type="expression" dxfId="4577" priority="551">
      <formula>$B$9="CZK"</formula>
    </cfRule>
    <cfRule type="expression" dxfId="4576" priority="552">
      <formula>$B$9="USD"</formula>
    </cfRule>
    <cfRule type="expression" dxfId="4575" priority="553">
      <formula>$B$9="EURO"</formula>
    </cfRule>
  </conditionalFormatting>
  <conditionalFormatting sqref="N65:N78">
    <cfRule type="expression" dxfId="4574" priority="244">
      <formula>$B$9="EURO"</formula>
    </cfRule>
    <cfRule type="cellIs" dxfId="4573" priority="243" operator="greaterThan">
      <formula>0</formula>
    </cfRule>
    <cfRule type="expression" dxfId="4572" priority="245">
      <formula>$B$9="USD"</formula>
    </cfRule>
    <cfRule type="expression" dxfId="4571" priority="247">
      <formula>$B$9="CZK"</formula>
    </cfRule>
    <cfRule type="expression" dxfId="4570" priority="246">
      <formula>$B$9="PLN"</formula>
    </cfRule>
  </conditionalFormatting>
  <conditionalFormatting sqref="N80">
    <cfRule type="expression" dxfId="4569" priority="520">
      <formula>$B$9="PLN"</formula>
    </cfRule>
    <cfRule type="expression" dxfId="4568" priority="521">
      <formula>$B$9="CZK"</formula>
    </cfRule>
    <cfRule type="expression" dxfId="4567" priority="522">
      <formula>$B$9="USD"</formula>
    </cfRule>
    <cfRule type="expression" dxfId="4566" priority="523">
      <formula>$B$9="EURO"</formula>
    </cfRule>
  </conditionalFormatting>
  <conditionalFormatting sqref="N82:N95">
    <cfRule type="expression" dxfId="4565" priority="234">
      <formula>$B$9="USD"</formula>
    </cfRule>
    <cfRule type="expression" dxfId="4564" priority="235">
      <formula>$B$9="PLN"</formula>
    </cfRule>
    <cfRule type="expression" dxfId="4563" priority="236">
      <formula>$B$9="CZK"</formula>
    </cfRule>
    <cfRule type="expression" dxfId="4562" priority="233">
      <formula>$B$9="EURO"</formula>
    </cfRule>
    <cfRule type="cellIs" dxfId="4561" priority="232" operator="greaterThan">
      <formula>0</formula>
    </cfRule>
  </conditionalFormatting>
  <conditionalFormatting sqref="N97">
    <cfRule type="expression" dxfId="4560" priority="491">
      <formula>$B$9="USD"</formula>
    </cfRule>
    <cfRule type="expression" dxfId="4559" priority="492">
      <formula>$B$9="EURO"</formula>
    </cfRule>
    <cfRule type="expression" dxfId="4558" priority="489">
      <formula>$B$9="PLN"</formula>
    </cfRule>
    <cfRule type="expression" dxfId="4557" priority="490">
      <formula>$B$9="CZK"</formula>
    </cfRule>
  </conditionalFormatting>
  <conditionalFormatting sqref="N99:N112">
    <cfRule type="expression" dxfId="4556" priority="225">
      <formula>$B$9="CZK"</formula>
    </cfRule>
    <cfRule type="cellIs" dxfId="4555" priority="221" operator="greaterThan">
      <formula>0</formula>
    </cfRule>
    <cfRule type="expression" dxfId="4554" priority="222">
      <formula>$B$9="EURO"</formula>
    </cfRule>
    <cfRule type="expression" dxfId="4553" priority="223">
      <formula>$B$9="USD"</formula>
    </cfRule>
    <cfRule type="expression" dxfId="4552" priority="224">
      <formula>$B$9="PLN"</formula>
    </cfRule>
  </conditionalFormatting>
  <conditionalFormatting sqref="N114">
    <cfRule type="expression" dxfId="4551" priority="321">
      <formula>$B$9="PLN"</formula>
    </cfRule>
    <cfRule type="expression" dxfId="4550" priority="324">
      <formula>$B$9="EURO"</formula>
    </cfRule>
    <cfRule type="expression" dxfId="4549" priority="323">
      <formula>$B$9="USD"</formula>
    </cfRule>
    <cfRule type="expression" dxfId="4548" priority="322">
      <formula>$B$9="CZK"</formula>
    </cfRule>
  </conditionalFormatting>
  <conditionalFormatting sqref="N116:N129 N167:N180">
    <cfRule type="expression" dxfId="4547" priority="214">
      <formula>$B$9="CZK"</formula>
    </cfRule>
    <cfRule type="expression" dxfId="4546" priority="213">
      <formula>$B$9="PLN"</formula>
    </cfRule>
    <cfRule type="expression" dxfId="4545" priority="212">
      <formula>$B$9="USD"</formula>
    </cfRule>
    <cfRule type="expression" dxfId="4544" priority="211">
      <formula>$B$9="EURO"</formula>
    </cfRule>
    <cfRule type="cellIs" dxfId="4543" priority="210" operator="greaterThan">
      <formula>0</formula>
    </cfRule>
  </conditionalFormatting>
  <conditionalFormatting sqref="N131">
    <cfRule type="expression" dxfId="4542" priority="187">
      <formula>$B$9="EURO"</formula>
    </cfRule>
    <cfRule type="expression" dxfId="4541" priority="186">
      <formula>$B$9="USD"</formula>
    </cfRule>
    <cfRule type="expression" dxfId="4540" priority="185">
      <formula>$B$9="CZK"</formula>
    </cfRule>
    <cfRule type="expression" dxfId="4539" priority="184">
      <formula>$B$9="PLN"</formula>
    </cfRule>
  </conditionalFormatting>
  <conditionalFormatting sqref="N133:N146">
    <cfRule type="expression" dxfId="4538" priority="24">
      <formula>$B$9="EURO"</formula>
    </cfRule>
    <cfRule type="expression" dxfId="4537" priority="25">
      <formula>$B$9="USD"</formula>
    </cfRule>
    <cfRule type="expression" dxfId="4536" priority="26">
      <formula>$B$9="PLN"</formula>
    </cfRule>
    <cfRule type="expression" dxfId="4535" priority="27">
      <formula>$B$9="CZK"</formula>
    </cfRule>
    <cfRule type="cellIs" dxfId="4534" priority="23" operator="greaterThan">
      <formula>0</formula>
    </cfRule>
  </conditionalFormatting>
  <conditionalFormatting sqref="N148">
    <cfRule type="expression" dxfId="4533" priority="153">
      <formula>$B$9="PLN"</formula>
    </cfRule>
    <cfRule type="expression" dxfId="4532" priority="154">
      <formula>$B$9="CZK"</formula>
    </cfRule>
    <cfRule type="expression" dxfId="4531" priority="155">
      <formula>$B$9="USD"</formula>
    </cfRule>
    <cfRule type="expression" dxfId="4530" priority="156">
      <formula>$B$9="EURO"</formula>
    </cfRule>
  </conditionalFormatting>
  <conditionalFormatting sqref="N150:N163">
    <cfRule type="cellIs" dxfId="4529" priority="12" operator="greaterThan">
      <formula>0</formula>
    </cfRule>
    <cfRule type="expression" dxfId="4528" priority="13">
      <formula>$B$9="EURO"</formula>
    </cfRule>
    <cfRule type="expression" dxfId="4527" priority="14">
      <formula>$B$9="USD"</formula>
    </cfRule>
    <cfRule type="expression" dxfId="4526" priority="15">
      <formula>$B$9="PLN"</formula>
    </cfRule>
    <cfRule type="expression" dxfId="4525" priority="16">
      <formula>$B$9="CZK"</formula>
    </cfRule>
  </conditionalFormatting>
  <conditionalFormatting sqref="N165">
    <cfRule type="expression" dxfId="4524" priority="79">
      <formula>$B$9="USD"</formula>
    </cfRule>
    <cfRule type="expression" dxfId="4523" priority="77">
      <formula>$B$9="PLN"</formula>
    </cfRule>
    <cfRule type="expression" dxfId="4522" priority="78">
      <formula>$B$9="CZK"</formula>
    </cfRule>
    <cfRule type="expression" dxfId="4521" priority="80">
      <formula>$B$9="EURO"</formula>
    </cfRule>
  </conditionalFormatting>
  <conditionalFormatting sqref="N183:N197">
    <cfRule type="expression" dxfId="4520" priority="642">
      <formula>$B$9="CZK"</formula>
    </cfRule>
    <cfRule type="expression" dxfId="4519" priority="641">
      <formula>$B$9="PLN"</formula>
    </cfRule>
    <cfRule type="expression" dxfId="4518" priority="640">
      <formula>$B$9="USD"</formula>
    </cfRule>
    <cfRule type="expression" dxfId="4517" priority="639">
      <formula>$B$9="EURO"</formula>
    </cfRule>
    <cfRule type="cellIs" dxfId="4516" priority="638" operator="greaterThan">
      <formula>0</formula>
    </cfRule>
  </conditionalFormatting>
  <conditionalFormatting sqref="N182:O182">
    <cfRule type="expression" dxfId="4515" priority="649">
      <formula>$B$9="EURO"</formula>
    </cfRule>
    <cfRule type="expression" dxfId="4514" priority="646">
      <formula>$B$9="PLN"</formula>
    </cfRule>
    <cfRule type="expression" dxfId="4513" priority="647">
      <formula>$B$9="CZK"</formula>
    </cfRule>
    <cfRule type="expression" dxfId="4512" priority="648">
      <formula>$B$9="USD"</formula>
    </cfRule>
  </conditionalFormatting>
  <conditionalFormatting sqref="O14:O27">
    <cfRule type="cellIs" dxfId="4511" priority="635" operator="greaterThan">
      <formula>0</formula>
    </cfRule>
  </conditionalFormatting>
  <conditionalFormatting sqref="O31:O44">
    <cfRule type="cellIs" dxfId="4510" priority="270" operator="greaterThan">
      <formula>0</formula>
    </cfRule>
  </conditionalFormatting>
  <conditionalFormatting sqref="O48:O61">
    <cfRule type="cellIs" dxfId="4509" priority="259" operator="greaterThan">
      <formula>0</formula>
    </cfRule>
  </conditionalFormatting>
  <conditionalFormatting sqref="O65:O78">
    <cfRule type="cellIs" dxfId="4508" priority="248" operator="greaterThan">
      <formula>0</formula>
    </cfRule>
  </conditionalFormatting>
  <conditionalFormatting sqref="O82:O95">
    <cfRule type="cellIs" dxfId="4507" priority="237" operator="greaterThan">
      <formula>0</formula>
    </cfRule>
  </conditionalFormatting>
  <conditionalFormatting sqref="O99:O112">
    <cfRule type="cellIs" dxfId="4506" priority="226" operator="greaterThan">
      <formula>0</formula>
    </cfRule>
  </conditionalFormatting>
  <conditionalFormatting sqref="O116:O129 O167:O180">
    <cfRule type="cellIs" dxfId="4505" priority="215" operator="greaterThan">
      <formula>0</formula>
    </cfRule>
  </conditionalFormatting>
  <conditionalFormatting sqref="O133:O146">
    <cfRule type="cellIs" dxfId="4504" priority="28" operator="greaterThan">
      <formula>0</formula>
    </cfRule>
  </conditionalFormatting>
  <conditionalFormatting sqref="O150:O163">
    <cfRule type="cellIs" dxfId="4503" priority="17" operator="greaterThan">
      <formula>0</formula>
    </cfRule>
  </conditionalFormatting>
  <conditionalFormatting sqref="O183:O197">
    <cfRule type="cellIs" dxfId="4502" priority="660" operator="greaterThan">
      <formula>0</formula>
    </cfRule>
  </conditionalFormatting>
  <conditionalFormatting sqref="Q16">
    <cfRule type="cellIs" dxfId="4501" priority="405" operator="greaterThan">
      <formula>0</formula>
    </cfRule>
    <cfRule type="expression" dxfId="4500" priority="406">
      <formula>$B$9="EURO"</formula>
    </cfRule>
    <cfRule type="expression" dxfId="4499" priority="407">
      <formula>$B$9="USD"</formula>
    </cfRule>
    <cfRule type="expression" dxfId="4498" priority="408">
      <formula>$B$9="PLN"</formula>
    </cfRule>
    <cfRule type="expression" dxfId="4497" priority="409">
      <formula>$B$9="CZK"</formula>
    </cfRule>
  </conditionalFormatting>
  <dataValidations count="11">
    <dataValidation type="list" allowBlank="1" showInputMessage="1" showErrorMessage="1" sqref="C27 C44 C61 C78 C95 C112 C129 C146 C163 C180" xr:uid="{00000000-0002-0000-0200-000000000000}">
      <formula1>"0,0.5,1,1.5,2,2.5,3,3.5,4,4.5,5"</formula1>
    </dataValidation>
    <dataValidation type="list" allowBlank="1" showInputMessage="1" showErrorMessage="1" errorTitle="Minimum number of sections " error="Must be greater than zero" sqref="H14 H31 H48 H65 H82 H99 H116 H133 H150 H167" xr:uid="{00000000-0002-0000-0200-000001000000}">
      <formula1>"1,2,3,4,5,6,7,8,9,10"</formula1>
    </dataValidation>
    <dataValidation type="list" allowBlank="1" showInputMessage="1" showErrorMessage="1" sqref="C20:C21 C37:C38 C54:C55 C71:C72 C88:C89 C105:C106 C122:C123 C139:C140 C156:C157 C173:C174 I16 I33 I50 I67 I84 I101 I118 I135 I152 I169" xr:uid="{00000000-0002-0000-0200-000002000000}">
      <formula1>"0,1,2,3,4,5,6,7,8,9,10,11,12,13,14,15,16,17,18,19,20"</formula1>
    </dataValidation>
    <dataValidation operator="greaterThan" allowBlank="1" showInputMessage="1" showErrorMessage="1" sqref="E14 E31 E48 E65 E82 E99 E116 E133 E150 E167" xr:uid="{00000000-0002-0000-0200-000003000000}"/>
    <dataValidation type="list" allowBlank="1" showInputMessage="1" showErrorMessage="1" sqref="C14 C31 C48 C65 C82 C99 C116 C133 C150 C167" xr:uid="{00000000-0002-0000-0200-000004000000}">
      <formula1>"WALL, ISLAND"</formula1>
    </dataValidation>
    <dataValidation type="list" allowBlank="1" showInputMessage="1" showErrorMessage="1" sqref="G181" xr:uid="{00000000-0002-0000-0200-000005000000}">
      <formula1>#REF!</formula1>
    </dataValidation>
    <dataValidation type="list" allowBlank="1" showInputMessage="1" showErrorMessage="1" sqref="D26 D43 D60 D77 D94 D111 D128 D145 D162 D179" xr:uid="{00000000-0002-0000-0200-000006000000}">
      <formula1>"0,1,2,3,4,5,6,7,8,9,10"</formula1>
    </dataValidation>
    <dataValidation type="list" allowBlank="1" sqref="C16 C33 C50" xr:uid="{00000000-0002-0000-0200-000007000000}">
      <formula1>$AA$500:$AA$520</formula1>
    </dataValidation>
    <dataValidation type="list" allowBlank="1" sqref="C17 C34 C51" xr:uid="{00000000-0002-0000-0200-000008000000}">
      <formula1>"1 TANK,1 TANK DISTANCE,2 TANK,2 TANK DISTANCE,3 TANK,3 TANK DISTANCE,4 TANK,4 TANK DISTANCE,5 TANK,5 TANK DISTANCE,6 TANK,6 TANK DISTANCE"</formula1>
    </dataValidation>
    <dataValidation type="list" allowBlank="1" sqref="D184" xr:uid="{00000000-0002-0000-0200-000009000000}">
      <formula1>",SL10 GENIE,EXTENSION FORKS,2.5M COMBI LADDER,1.5M PODIUM,3M TOWER,COMBI LADDER,PECO LIFT,3M YOUNGMAN BOARD,GS1930 SCISSOR LIFT,4-6 SHERASCOPIC,7-9 SHERASCOPIC"</formula1>
    </dataValidation>
    <dataValidation type="list" allowBlank="1" sqref="D183" xr:uid="{00000000-0002-0000-0200-00000A000000}">
      <formula1>$AB$400:$AB$592</formula1>
    </dataValidation>
  </dataValidations>
  <printOptions horizontalCentered="1"/>
  <pageMargins left="0.19685039370078741" right="0.19685039370078741" top="0.19685039370078741" bottom="0.19685039370078741" header="0.11811023622047249" footer="0.15748031496062989"/>
  <pageSetup paperSize="9" scale="42" orientation="portrait"/>
  <headerFooter alignWithMargins="0">
    <oddFooter>&amp;L&amp;8 &amp;Z&amp;F</oddFooter>
  </headerFooter>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IF('[1]CANOPY (9)'!G3="","",'[1]CANOPY (9)'!G3)</f>
        <v>#REF!</v>
      </c>
      <c r="I2" s="975"/>
      <c r="J2" s="975"/>
      <c r="K2" s="975"/>
      <c r="L2" s="976"/>
      <c r="M2" s="483" t="s">
        <v>368</v>
      </c>
      <c r="N2" s="974" t="e">
        <f>IF('[1]CANOPY (9)'!C3="","",'[1]CANOPY (9)'!C3)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IF('[1]CANOPY (9)'!G3="","",'[1]CANOPY (9)'!G3)</f>
        <v>#REF!</v>
      </c>
      <c r="I2" s="975"/>
      <c r="J2" s="975"/>
      <c r="K2" s="975"/>
      <c r="L2" s="976"/>
      <c r="M2" s="483" t="s">
        <v>368</v>
      </c>
      <c r="N2" s="974" t="e">
        <f>IF('[1]CANOPY (9)'!C3="","",'[1]CANOPY (9)'!C3)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IF('[1]CANOPY (9)'!G3="","",'[1]CANOPY (9)'!G3)</f>
        <v>#REF!</v>
      </c>
      <c r="I2" s="975"/>
      <c r="J2" s="975"/>
      <c r="K2" s="975"/>
      <c r="L2" s="976"/>
      <c r="M2" s="483" t="s">
        <v>368</v>
      </c>
      <c r="N2" s="974" t="e">
        <f>IF('[1]CANOPY (9)'!C3="","",'[1]CANOPY (9)'!C3)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IF('[1]CANOPY (9)'!G3="","",'[1]CANOPY (9)'!G3)</f>
        <v>#REF!</v>
      </c>
      <c r="I2" s="975"/>
      <c r="J2" s="975"/>
      <c r="K2" s="975"/>
      <c r="L2" s="976"/>
      <c r="M2" s="483" t="s">
        <v>368</v>
      </c>
      <c r="N2" s="974" t="e">
        <f>IF('[1]CANOPY (9)'!C3="","",'[1]CANOPY (9)'!C3)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IF('[1]CANOPY (9)'!C3="","",'[1]CANOPY (9)'!C3)</f>
        <v>#REF!</v>
      </c>
      <c r="D3" s="979"/>
      <c r="E3" s="103" t="s">
        <v>4</v>
      </c>
      <c r="F3" s="935" t="e">
        <f>IF('[1]CANOPY (9)'!G3="","",'[1]CANOPY (9)'!G3)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IF('[1]CANOPY (9)'!C5="","",'[1]CANOPY (9)'!C5)</f>
        <v>#REF!</v>
      </c>
      <c r="D5" s="979"/>
      <c r="E5" s="103" t="s">
        <v>8</v>
      </c>
      <c r="F5" s="935" t="e">
        <f>IF('[1]CANOPY (9)'!G5="","",'[1]CANOPY (9)'!G5)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IF('[1]CANOPY (9)'!C7="","",'[1]CANOPY (9)'!C7)</f>
        <v>#REF!</v>
      </c>
      <c r="D7" s="979"/>
      <c r="E7" s="103" t="s">
        <v>12</v>
      </c>
      <c r="F7" s="939" t="e">
        <f>IF('[1]CANOPY (9)'!G7="","",'[1]CANOPY (9)'!G7)</f>
        <v>#REF!</v>
      </c>
      <c r="G7" s="979"/>
      <c r="H7" s="245"/>
      <c r="J7" s="240" t="s">
        <v>14</v>
      </c>
      <c r="K7" s="787" t="e">
        <f>IF('[1]CANOPY (9)'!O7="","",'[1]CANOPY (9)'!O7)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4496" priority="24">
      <formula>B9="CURRENCY"</formula>
    </cfRule>
    <cfRule type="containsText" dxfId="4495" priority="23" operator="containsText" text="SELECT">
      <formula>NOT(ISERROR(SEARCH("SELECT",B9)))</formula>
    </cfRule>
  </conditionalFormatting>
  <conditionalFormatting sqref="B13:B24">
    <cfRule type="expression" dxfId="4494" priority="6">
      <formula>$C13&gt;0</formula>
    </cfRule>
  </conditionalFormatting>
  <conditionalFormatting sqref="B25:B39">
    <cfRule type="expression" dxfId="4493" priority="5">
      <formula>$C25&gt;0</formula>
    </cfRule>
  </conditionalFormatting>
  <conditionalFormatting sqref="B40:B42">
    <cfRule type="expression" dxfId="4492" priority="4">
      <formula>$C40&gt;0</formula>
    </cfRule>
  </conditionalFormatting>
  <conditionalFormatting sqref="B43:B50">
    <cfRule type="expression" dxfId="4491" priority="1">
      <formula>$C43&gt;0</formula>
    </cfRule>
  </conditionalFormatting>
  <conditionalFormatting sqref="B51:B54">
    <cfRule type="expression" dxfId="4490" priority="3">
      <formula>$C51&gt;0</formula>
    </cfRule>
  </conditionalFormatting>
  <conditionalFormatting sqref="B57:B66">
    <cfRule type="expression" dxfId="4489" priority="2">
      <formula>$C57&gt;0</formula>
    </cfRule>
  </conditionalFormatting>
  <conditionalFormatting sqref="C13:C54">
    <cfRule type="cellIs" dxfId="4488" priority="10" operator="lessThan">
      <formula>1</formula>
    </cfRule>
  </conditionalFormatting>
  <conditionalFormatting sqref="C57:C66">
    <cfRule type="cellIs" dxfId="4487" priority="26" operator="equal">
      <formula>0</formula>
    </cfRule>
  </conditionalFormatting>
  <conditionalFormatting sqref="C9:D9">
    <cfRule type="cellIs" dxfId="4486" priority="20" operator="lessThan">
      <formula>0</formula>
    </cfRule>
    <cfRule type="cellIs" dxfId="4485" priority="21" operator="greaterThan">
      <formula>0</formula>
    </cfRule>
  </conditionalFormatting>
  <conditionalFormatting sqref="F13:F54">
    <cfRule type="expression" dxfId="4484" priority="9">
      <formula>C13&gt;0</formula>
    </cfRule>
  </conditionalFormatting>
  <conditionalFormatting sqref="F57:F66">
    <cfRule type="expression" dxfId="4483" priority="19">
      <formula>C57&gt;0</formula>
    </cfRule>
  </conditionalFormatting>
  <conditionalFormatting sqref="F58:F66">
    <cfRule type="expression" dxfId="4482" priority="25">
      <formula>C58&lt;1</formula>
    </cfRule>
  </conditionalFormatting>
  <conditionalFormatting sqref="G13:G54">
    <cfRule type="cellIs" dxfId="4481" priority="8" operator="greaterThan">
      <formula>0</formula>
    </cfRule>
  </conditionalFormatting>
  <conditionalFormatting sqref="G57:G66">
    <cfRule type="cellIs" dxfId="4480" priority="18" operator="greaterThan">
      <formula>0</formula>
    </cfRule>
  </conditionalFormatting>
  <conditionalFormatting sqref="H13:H54">
    <cfRule type="expression" dxfId="4479" priority="15">
      <formula>$C$9&gt;0</formula>
    </cfRule>
    <cfRule type="expression" dxfId="4478" priority="16">
      <formula>$C$9&lt;0</formula>
    </cfRule>
  </conditionalFormatting>
  <conditionalFormatting sqref="H57:H66">
    <cfRule type="expression" dxfId="4477" priority="32">
      <formula>$C$9&lt;0</formula>
    </cfRule>
    <cfRule type="expression" dxfId="4476" priority="31">
      <formula>$C$9&gt;0</formula>
    </cfRule>
  </conditionalFormatting>
  <conditionalFormatting sqref="J2:J6 J75:J1048576">
    <cfRule type="expression" dxfId="4475" priority="27">
      <formula>$B$9="EURO"</formula>
    </cfRule>
  </conditionalFormatting>
  <conditionalFormatting sqref="J8:J67">
    <cfRule type="expression" dxfId="4474" priority="11">
      <formula>$B$9="EURO"</formula>
    </cfRule>
  </conditionalFormatting>
  <conditionalFormatting sqref="J9 J56:J66">
    <cfRule type="expression" dxfId="4473" priority="28">
      <formula>$B$9="USD"</formula>
    </cfRule>
    <cfRule type="expression" dxfId="4472" priority="29">
      <formula>$B$9="PLN"</formula>
    </cfRule>
    <cfRule type="expression" dxfId="4471" priority="30">
      <formula>$B$9="CZK"</formula>
    </cfRule>
  </conditionalFormatting>
  <conditionalFormatting sqref="J12:J54">
    <cfRule type="expression" dxfId="4470" priority="14">
      <formula>$B$9="CZK"</formula>
    </cfRule>
    <cfRule type="expression" dxfId="4469" priority="13">
      <formula>$B$9="PLN"</formula>
    </cfRule>
    <cfRule type="expression" dxfId="4468" priority="12">
      <formula>$B$9="USD"</formula>
    </cfRule>
  </conditionalFormatting>
  <conditionalFormatting sqref="J68:J74">
    <cfRule type="expression" dxfId="4467" priority="22">
      <formula>$F$10="EURO"</formula>
    </cfRule>
  </conditionalFormatting>
  <conditionalFormatting sqref="J13:K54">
    <cfRule type="cellIs" dxfId="4466" priority="7" operator="greaterThan">
      <formula>0</formula>
    </cfRule>
  </conditionalFormatting>
  <conditionalFormatting sqref="J57:K66">
    <cfRule type="cellIs" dxfId="4465" priority="17" operator="greaterThan">
      <formula>0</formula>
    </cfRule>
  </conditionalFormatting>
  <dataValidations count="1">
    <dataValidation type="list" allowBlank="1" showInputMessage="1" showErrorMessage="1" sqref="D55" xr:uid="{00000000-0002-0000-07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IF('[1]CANOPY (9)'!C3="","",'[1]CANOPY (9)'!C3)</f>
        <v>#REF!</v>
      </c>
      <c r="D3" s="979"/>
      <c r="E3" s="103" t="s">
        <v>4</v>
      </c>
      <c r="F3" s="935" t="e">
        <f>IF('[1]CANOPY (9)'!G3="","",'[1]CANOPY (9)'!G3)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IF('[1]CANOPY (9)'!C5="","",'[1]CANOPY (9)'!C5)</f>
        <v>#REF!</v>
      </c>
      <c r="D5" s="979"/>
      <c r="E5" s="103" t="s">
        <v>8</v>
      </c>
      <c r="F5" s="935" t="e">
        <f>IF('[1]CANOPY (9)'!G5="","",'[1]CANOPY (9)'!G5)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IF('[1]CANOPY (9)'!C7="","",'[1]CANOPY (9)'!C7)</f>
        <v>#REF!</v>
      </c>
      <c r="D7" s="979"/>
      <c r="E7" s="103" t="s">
        <v>12</v>
      </c>
      <c r="F7" s="939" t="e">
        <f>IF('[1]CANOPY (9)'!G7="","",'[1]CANOPY (9)'!G7)</f>
        <v>#REF!</v>
      </c>
      <c r="G7" s="979"/>
      <c r="H7" s="245"/>
      <c r="J7" s="240" t="s">
        <v>14</v>
      </c>
      <c r="K7" s="787" t="e">
        <f>IF('[1]CANOPY (9)'!O7="","",'[1]CANOPY (9)'!O7)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4464" priority="27">
      <formula>B9="CURRENCY"</formula>
    </cfRule>
    <cfRule type="containsText" dxfId="4463" priority="26" operator="containsText" text="SELECT">
      <formula>NOT(ISERROR(SEARCH("SELECT",B9)))</formula>
    </cfRule>
  </conditionalFormatting>
  <conditionalFormatting sqref="B13:B24">
    <cfRule type="expression" dxfId="4462" priority="4">
      <formula>$C13&gt;0</formula>
    </cfRule>
  </conditionalFormatting>
  <conditionalFormatting sqref="B25:B39">
    <cfRule type="expression" dxfId="4461" priority="3">
      <formula>$C25&gt;0</formula>
    </cfRule>
  </conditionalFormatting>
  <conditionalFormatting sqref="B40:B54">
    <cfRule type="expression" dxfId="4460" priority="2">
      <formula>$C40&gt;0</formula>
    </cfRule>
  </conditionalFormatting>
  <conditionalFormatting sqref="B57:B66">
    <cfRule type="expression" dxfId="4459" priority="1">
      <formula>$C57&gt;0</formula>
    </cfRule>
  </conditionalFormatting>
  <conditionalFormatting sqref="C13:C54">
    <cfRule type="cellIs" dxfId="4458" priority="13" operator="lessThan">
      <formula>1</formula>
    </cfRule>
  </conditionalFormatting>
  <conditionalFormatting sqref="C57:C66">
    <cfRule type="cellIs" dxfId="4457" priority="29" operator="equal">
      <formula>0</formula>
    </cfRule>
  </conditionalFormatting>
  <conditionalFormatting sqref="C9:D9">
    <cfRule type="cellIs" dxfId="4456" priority="24" operator="greaterThan">
      <formula>0</formula>
    </cfRule>
    <cfRule type="cellIs" dxfId="4455" priority="23" operator="lessThan">
      <formula>0</formula>
    </cfRule>
  </conditionalFormatting>
  <conditionalFormatting sqref="F13:F54">
    <cfRule type="expression" dxfId="4454" priority="12">
      <formula>C13&gt;0</formula>
    </cfRule>
  </conditionalFormatting>
  <conditionalFormatting sqref="F57:F66">
    <cfRule type="expression" dxfId="4453" priority="22">
      <formula>C57&gt;0</formula>
    </cfRule>
  </conditionalFormatting>
  <conditionalFormatting sqref="F58:F66">
    <cfRule type="expression" dxfId="4452" priority="28">
      <formula>C58&lt;1</formula>
    </cfRule>
  </conditionalFormatting>
  <conditionalFormatting sqref="G13:G54">
    <cfRule type="cellIs" dxfId="4451" priority="11" operator="greaterThan">
      <formula>0</formula>
    </cfRule>
  </conditionalFormatting>
  <conditionalFormatting sqref="G57:G66">
    <cfRule type="cellIs" dxfId="4450" priority="21" operator="greaterThan">
      <formula>0</formula>
    </cfRule>
  </conditionalFormatting>
  <conditionalFormatting sqref="H13:H54">
    <cfRule type="expression" dxfId="4449" priority="18">
      <formula>$C$9&gt;0</formula>
    </cfRule>
    <cfRule type="expression" dxfId="4448" priority="19">
      <formula>$C$9&lt;0</formula>
    </cfRule>
  </conditionalFormatting>
  <conditionalFormatting sqref="H57:H66">
    <cfRule type="expression" dxfId="4447" priority="34">
      <formula>$C$9&gt;0</formula>
    </cfRule>
    <cfRule type="expression" dxfId="4446" priority="35">
      <formula>$C$9&lt;0</formula>
    </cfRule>
  </conditionalFormatting>
  <conditionalFormatting sqref="J2:J6 J75:J1048576">
    <cfRule type="expression" dxfId="4445" priority="30">
      <formula>$B$9="EURO"</formula>
    </cfRule>
  </conditionalFormatting>
  <conditionalFormatting sqref="J8:J67">
    <cfRule type="expression" dxfId="4444" priority="14">
      <formula>$B$9="EURO"</formula>
    </cfRule>
  </conditionalFormatting>
  <conditionalFormatting sqref="J9 J56:J66">
    <cfRule type="expression" dxfId="4443" priority="31">
      <formula>$B$9="USD"</formula>
    </cfRule>
    <cfRule type="expression" dxfId="4442" priority="32">
      <formula>$B$9="PLN"</formula>
    </cfRule>
    <cfRule type="expression" dxfId="4441" priority="33">
      <formula>$B$9="CZK"</formula>
    </cfRule>
  </conditionalFormatting>
  <conditionalFormatting sqref="J12:J54">
    <cfRule type="expression" dxfId="4440" priority="17">
      <formula>$B$9="CZK"</formula>
    </cfRule>
    <cfRule type="expression" dxfId="4439" priority="16">
      <formula>$B$9="PLN"</formula>
    </cfRule>
    <cfRule type="expression" dxfId="4438" priority="15">
      <formula>$B$9="USD"</formula>
    </cfRule>
  </conditionalFormatting>
  <conditionalFormatting sqref="J68:J74">
    <cfRule type="expression" dxfId="4437" priority="25">
      <formula>$F$10="EURO"</formula>
    </cfRule>
  </conditionalFormatting>
  <conditionalFormatting sqref="J13:K54">
    <cfRule type="cellIs" dxfId="4436" priority="10" operator="greaterThan">
      <formula>0</formula>
    </cfRule>
  </conditionalFormatting>
  <conditionalFormatting sqref="J57:K66">
    <cfRule type="cellIs" dxfId="4435" priority="20" operator="greaterThan">
      <formula>0</formula>
    </cfRule>
  </conditionalFormatting>
  <conditionalFormatting sqref="M12:P54">
    <cfRule type="expression" dxfId="4434" priority="9">
      <formula>$B$9="CZK"</formula>
    </cfRule>
    <cfRule type="expression" dxfId="4433" priority="8">
      <formula>$B$9="PLN"</formula>
    </cfRule>
    <cfRule type="expression" dxfId="4432" priority="7">
      <formula>$B$9="USD"</formula>
    </cfRule>
    <cfRule type="expression" dxfId="4431" priority="6">
      <formula>$B$9="EURO"</formula>
    </cfRule>
  </conditionalFormatting>
  <conditionalFormatting sqref="M13:P54">
    <cfRule type="cellIs" dxfId="4430" priority="5" operator="greaterThan">
      <formula>0</formula>
    </cfRule>
  </conditionalFormatting>
  <dataValidations count="3">
    <dataValidation type="list" allowBlank="1" showInputMessage="1" showErrorMessage="1" sqref="D13" xr:uid="{00000000-0002-0000-0800-000000000000}">
      <formula1>FanSize</formula1>
    </dataValidation>
    <dataValidation type="list" allowBlank="1" showInputMessage="1" showErrorMessage="1" sqref="D55" xr:uid="{00000000-0002-0000-0800-000001000000}">
      <formula1>$B$3:$B$15</formula1>
    </dataValidation>
    <dataValidation type="list" allowBlank="1" showInputMessage="1" showErrorMessage="1" sqref="D26" xr:uid="{00000000-0002-0000-08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IF('[1]CANOPY (9)'!C3="","",'[1]CANOPY (9)'!C3)</f>
        <v>#REF!</v>
      </c>
      <c r="D3" s="979"/>
      <c r="E3" s="122" t="s">
        <v>4</v>
      </c>
      <c r="F3" s="987" t="e">
        <f>IF('[1]CANOPY (9)'!G3="","",'[1]CANOPY (9)'!G3)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IF('[1]CANOPY (9)'!C5="","",'[1]CANOPY (9)'!C5)</f>
        <v>#REF!</v>
      </c>
      <c r="D5" s="979"/>
      <c r="E5" s="122" t="s">
        <v>8</v>
      </c>
      <c r="F5" s="987" t="e">
        <f>IF('[1]CANOPY (9)'!G5="","",'[1]CANOPY (9)'!G5)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IF('[1]CANOPY (9)'!C7="","",'[1]CANOPY (9)'!C7)</f>
        <v>#REF!</v>
      </c>
      <c r="D7" s="979"/>
      <c r="E7" s="122" t="s">
        <v>12</v>
      </c>
      <c r="F7" s="989" t="e">
        <f>IF('[1]CANOPY (9)'!G7="","",'[1]CANOPY (9)'!G7)</f>
        <v>#REF!</v>
      </c>
      <c r="G7" s="979"/>
      <c r="H7" s="979"/>
      <c r="J7" s="197" t="s">
        <v>14</v>
      </c>
      <c r="K7" s="484" t="e">
        <f>IF('[1]CANOPY (9)'!O7="","",'[1]CANOPY (9)'!O7)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4429" priority="8" operator="containsText" text="SELECT">
      <formula>NOT(ISERROR(SEARCH("SELECT",B10)))</formula>
    </cfRule>
    <cfRule type="expression" dxfId="4428" priority="9">
      <formula>B10="CURRENCY"</formula>
    </cfRule>
  </conditionalFormatting>
  <conditionalFormatting sqref="B14:B41">
    <cfRule type="expression" dxfId="4427" priority="2">
      <formula>$C14&gt;0</formula>
    </cfRule>
  </conditionalFormatting>
  <conditionalFormatting sqref="B44:B55">
    <cfRule type="expression" dxfId="4426" priority="1">
      <formula>$C44&gt;0</formula>
    </cfRule>
  </conditionalFormatting>
  <conditionalFormatting sqref="C14:C41 C44:C55">
    <cfRule type="cellIs" dxfId="4425" priority="12" operator="equal">
      <formula>0</formula>
    </cfRule>
  </conditionalFormatting>
  <conditionalFormatting sqref="C10:D10">
    <cfRule type="cellIs" dxfId="4424" priority="6" operator="lessThan">
      <formula>0</formula>
    </cfRule>
    <cfRule type="cellIs" dxfId="4423" priority="7" operator="greaterThan">
      <formula>0</formula>
    </cfRule>
  </conditionalFormatting>
  <conditionalFormatting sqref="E12:E13">
    <cfRule type="cellIs" dxfId="4422" priority="10" operator="greaterThan">
      <formula>0</formula>
    </cfRule>
    <cfRule type="cellIs" dxfId="4421" priority="11" operator="lessThan">
      <formula>0</formula>
    </cfRule>
  </conditionalFormatting>
  <conditionalFormatting sqref="F14:F41 F44:F55">
    <cfRule type="expression" dxfId="4420" priority="5">
      <formula>C14&gt;0</formula>
    </cfRule>
  </conditionalFormatting>
  <conditionalFormatting sqref="G14:G41 G44:G55">
    <cfRule type="cellIs" dxfId="4419" priority="4" operator="greaterThan">
      <formula>0</formula>
    </cfRule>
  </conditionalFormatting>
  <conditionalFormatting sqref="H14:H41 H44:H55">
    <cfRule type="expression" dxfId="4418" priority="17">
      <formula>$C$10&lt;0</formula>
    </cfRule>
    <cfRule type="expression" dxfId="4417" priority="18">
      <formula>$C$10&gt;0</formula>
    </cfRule>
  </conditionalFormatting>
  <conditionalFormatting sqref="J1:J6 J8:J11 J13:J1048576">
    <cfRule type="expression" dxfId="4416" priority="13">
      <formula>$B$10="EURO"</formula>
    </cfRule>
  </conditionalFormatting>
  <conditionalFormatting sqref="J10 J13:J41 J43:J55">
    <cfRule type="expression" dxfId="4415" priority="14">
      <formula>$B$10="PLN"</formula>
    </cfRule>
    <cfRule type="expression" dxfId="4414" priority="15">
      <formula>$B$10="CZK"</formula>
    </cfRule>
    <cfRule type="expression" dxfId="4413" priority="16">
      <formula>$B$10="USD"</formula>
    </cfRule>
  </conditionalFormatting>
  <conditionalFormatting sqref="J14:K41 J44:K56">
    <cfRule type="cellIs" dxfId="4412" priority="3" operator="greaterThan">
      <formula>0</formula>
    </cfRule>
  </conditionalFormatting>
  <dataValidations count="1">
    <dataValidation type="list" allowBlank="1" showInputMessage="1" showErrorMessage="1" sqref="F12:F13" xr:uid="{00000000-0002-0000-09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IF('[1]CANOPY (9)'!C3="","",'[1]CANOPY (9)'!C3)</f>
        <v>#REF!</v>
      </c>
      <c r="D3" s="990"/>
      <c r="E3" s="129"/>
      <c r="F3" s="132" t="s">
        <v>4</v>
      </c>
      <c r="G3" s="938" t="e">
        <f>IF('[1]CANOPY (9)'!G3="","",'[1]CANOPY (9)'!G3)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IF('[1]CANOPY (9)'!C5="","",'[1]CANOPY (9)'!C5)</f>
        <v>#REF!</v>
      </c>
      <c r="D5" s="990"/>
      <c r="E5" s="131"/>
      <c r="F5" s="132" t="s">
        <v>8</v>
      </c>
      <c r="G5" s="938" t="e">
        <f>IF('[1]CANOPY (9)'!G5="","",'[1]CANOPY (9)'!G5)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IF('[1]CANOPY (9)'!C7="","",'[1]CANOPY (9)'!C7)</f>
        <v>#REF!</v>
      </c>
      <c r="D7" s="990"/>
      <c r="E7" s="135"/>
      <c r="F7" s="136" t="s">
        <v>12</v>
      </c>
      <c r="G7" s="939" t="e">
        <f>IF('[1]CANOPY (9)'!G7="","",'[1]CANOPY (9)'!G7)</f>
        <v>#REF!</v>
      </c>
      <c r="H7" s="990"/>
      <c r="I7" s="51"/>
      <c r="J7" s="280"/>
      <c r="K7" s="280" t="s">
        <v>14</v>
      </c>
      <c r="L7" s="484" t="e">
        <f>IF('[1]CANOPY (9)'!O7="","",'[1]CANOPY (9)'!O7)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4411" priority="26">
      <formula>B9="CURRENCY"</formula>
    </cfRule>
    <cfRule type="containsText" dxfId="4410" priority="25" operator="containsText" text="SELECT">
      <formula>NOT(ISERROR(SEARCH("SELECT",B9)))</formula>
    </cfRule>
  </conditionalFormatting>
  <conditionalFormatting sqref="B15:B29">
    <cfRule type="expression" dxfId="4409" priority="9">
      <formula>$D15&gt;0</formula>
    </cfRule>
  </conditionalFormatting>
  <conditionalFormatting sqref="B49 E49:F49">
    <cfRule type="expression" dxfId="4408" priority="49">
      <formula>C40="select controls"</formula>
    </cfRule>
  </conditionalFormatting>
  <conditionalFormatting sqref="C13">
    <cfRule type="containsText" dxfId="4407" priority="29" operator="containsText" text="SELECT">
      <formula>NOT(ISERROR(SEARCH("SELECT",C13)))</formula>
    </cfRule>
  </conditionalFormatting>
  <conditionalFormatting sqref="C15:C22">
    <cfRule type="containsText" dxfId="4406" priority="15" operator="containsText" text="SIZE">
      <formula>NOT(ISERROR(SEARCH("SIZE",C15)))</formula>
    </cfRule>
  </conditionalFormatting>
  <conditionalFormatting sqref="C25">
    <cfRule type="containsText" dxfId="4405" priority="37" operator="containsText" text="SELECT CONTROLS">
      <formula>NOT(ISERROR(SEARCH("SELECT CONTROLS",C25)))</formula>
    </cfRule>
  </conditionalFormatting>
  <conditionalFormatting sqref="C26">
    <cfRule type="expression" dxfId="4404" priority="32">
      <formula>$C$25="SMARTEC"</formula>
    </cfRule>
    <cfRule type="containsText" dxfId="4403" priority="31" operator="containsText" text="st/st">
      <formula>NOT(ISERROR(SEARCH("st/st",C26)))</formula>
    </cfRule>
  </conditionalFormatting>
  <conditionalFormatting sqref="C31:C32">
    <cfRule type="cellIs" dxfId="4402" priority="20" operator="greaterThan">
      <formula>0</formula>
    </cfRule>
  </conditionalFormatting>
  <conditionalFormatting sqref="C52:C61">
    <cfRule type="cellIs" dxfId="4401" priority="28" operator="lessThan">
      <formula>1</formula>
    </cfRule>
  </conditionalFormatting>
  <conditionalFormatting sqref="C9:D9">
    <cfRule type="cellIs" dxfId="4400" priority="23" operator="lessThan">
      <formula>0</formula>
    </cfRule>
    <cfRule type="cellIs" dxfId="4399" priority="24" operator="greaterThan">
      <formula>0</formula>
    </cfRule>
  </conditionalFormatting>
  <conditionalFormatting sqref="C29:D29">
    <cfRule type="expression" dxfId="4398" priority="36">
      <formula>$C$25="REMOTE TOUCH SCREEN"</formula>
    </cfRule>
    <cfRule type="expression" dxfId="4397" priority="35">
      <formula>$C$25="SMARTEC"</formula>
    </cfRule>
  </conditionalFormatting>
  <conditionalFormatting sqref="D26">
    <cfRule type="expression" dxfId="4396" priority="33">
      <formula>C25="SMARTEC"</formula>
    </cfRule>
    <cfRule type="expression" dxfId="4395" priority="30">
      <formula>C26="st/st enclosure"</formula>
    </cfRule>
  </conditionalFormatting>
  <conditionalFormatting sqref="D29">
    <cfRule type="expression" dxfId="4394" priority="34">
      <formula>$C$25="SMARTEC"</formula>
    </cfRule>
  </conditionalFormatting>
  <conditionalFormatting sqref="D38">
    <cfRule type="expression" dxfId="4393" priority="48">
      <formula>#REF!="SMARTEC"</formula>
    </cfRule>
    <cfRule type="expression" dxfId="4392" priority="47">
      <formula>C38="st/st enclosure"</formula>
    </cfRule>
  </conditionalFormatting>
  <conditionalFormatting sqref="E39:E43">
    <cfRule type="expression" dxfId="4391" priority="46">
      <formula>#REF!="select controls"</formula>
    </cfRule>
  </conditionalFormatting>
  <conditionalFormatting sqref="E44:F45 B45:B48 E46:E47 E48:F48">
    <cfRule type="expression" dxfId="4390" priority="27">
      <formula>C38="select controls"</formula>
    </cfRule>
  </conditionalFormatting>
  <conditionalFormatting sqref="F40">
    <cfRule type="expression" dxfId="4389" priority="1">
      <formula>G34="select controls"</formula>
    </cfRule>
  </conditionalFormatting>
  <conditionalFormatting sqref="G15:G36">
    <cfRule type="cellIs" dxfId="4388" priority="2" operator="greaterThan">
      <formula>0</formula>
    </cfRule>
  </conditionalFormatting>
  <conditionalFormatting sqref="G38:G49">
    <cfRule type="cellIs" dxfId="4387" priority="18" operator="greaterThan">
      <formula>0</formula>
    </cfRule>
  </conditionalFormatting>
  <conditionalFormatting sqref="G52:G61">
    <cfRule type="expression" dxfId="4386" priority="8">
      <formula>C52&gt;0</formula>
    </cfRule>
  </conditionalFormatting>
  <conditionalFormatting sqref="H13 J13 L13">
    <cfRule type="expression" dxfId="4385" priority="38">
      <formula>$B$9="EURO"</formula>
    </cfRule>
  </conditionalFormatting>
  <conditionalFormatting sqref="H15:H61">
    <cfRule type="cellIs" dxfId="4384" priority="19" operator="greaterThan">
      <formula>0</formula>
    </cfRule>
  </conditionalFormatting>
  <conditionalFormatting sqref="I15:I36 I38:I49 I52:I61">
    <cfRule type="expression" dxfId="4383" priority="44">
      <formula>$C$9&lt;0</formula>
    </cfRule>
    <cfRule type="expression" dxfId="4382" priority="43">
      <formula>$C$9&gt;0</formula>
    </cfRule>
  </conditionalFormatting>
  <conditionalFormatting sqref="J37">
    <cfRule type="expression" dxfId="4381" priority="42">
      <formula>$B$9="EURO"</formula>
    </cfRule>
    <cfRule type="expression" dxfId="4380" priority="41">
      <formula>$B$9="USD"</formula>
    </cfRule>
    <cfRule type="expression" dxfId="4379" priority="40">
      <formula>$B$9="CZK"</formula>
    </cfRule>
    <cfRule type="expression" dxfId="4378" priority="39">
      <formula>$B$9="PLN"</formula>
    </cfRule>
  </conditionalFormatting>
  <conditionalFormatting sqref="J63:J69">
    <cfRule type="expression" dxfId="4377" priority="45">
      <formula>#REF!="EURO"</formula>
    </cfRule>
  </conditionalFormatting>
  <conditionalFormatting sqref="K1:K36">
    <cfRule type="expression" dxfId="4376" priority="5">
      <formula>$B$9="USD"</formula>
    </cfRule>
    <cfRule type="expression" dxfId="4375" priority="4">
      <formula>$B$9="EURO"</formula>
    </cfRule>
    <cfRule type="expression" dxfId="4374" priority="6">
      <formula>$B$9="PLN"</formula>
    </cfRule>
  </conditionalFormatting>
  <conditionalFormatting sqref="K1:K1048576">
    <cfRule type="expression" dxfId="4373" priority="7">
      <formula>$B$9="CZK"</formula>
    </cfRule>
  </conditionalFormatting>
  <conditionalFormatting sqref="K15:K36">
    <cfRule type="cellIs" dxfId="4372" priority="3" operator="greaterThan">
      <formula>0</formula>
    </cfRule>
  </conditionalFormatting>
  <conditionalFormatting sqref="K38:K49">
    <cfRule type="cellIs" dxfId="4371" priority="14" operator="greaterThan">
      <formula>0</formula>
    </cfRule>
  </conditionalFormatting>
  <conditionalFormatting sqref="K38:K1048576">
    <cfRule type="expression" dxfId="4370" priority="11">
      <formula>$B$9="EURO"</formula>
    </cfRule>
    <cfRule type="expression" dxfId="4369" priority="12">
      <formula>$B$9="USD"</formula>
    </cfRule>
    <cfRule type="expression" dxfId="4368" priority="13">
      <formula>$B$9="PLN"</formula>
    </cfRule>
  </conditionalFormatting>
  <conditionalFormatting sqref="K50">
    <cfRule type="cellIs" dxfId="4367" priority="22" operator="greaterThan">
      <formula>0</formula>
    </cfRule>
  </conditionalFormatting>
  <conditionalFormatting sqref="K52:K61">
    <cfRule type="cellIs" dxfId="4366" priority="10" operator="greaterThan">
      <formula>0</formula>
    </cfRule>
  </conditionalFormatting>
  <conditionalFormatting sqref="L15:L36 L52:L61">
    <cfRule type="cellIs" dxfId="4365" priority="21" operator="greaterThan">
      <formula>0</formula>
    </cfRule>
  </conditionalFormatting>
  <conditionalFormatting sqref="L38:L49">
    <cfRule type="cellIs" dxfId="4364" priority="17" operator="greaterThan">
      <formula>0</formula>
    </cfRule>
  </conditionalFormatting>
  <conditionalFormatting sqref="U40">
    <cfRule type="cellIs" dxfId="4363"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0A00-000000000000}">
      <formula1>#REF!</formula1>
    </dataValidation>
    <dataValidation type="list" allowBlank="1" showInputMessage="1" showErrorMessage="1" sqref="C13" xr:uid="{00000000-0002-0000-0A00-000001000000}">
      <formula1>"SELECT MODEL,INTERNAL,EXTERNAL"</formula1>
    </dataValidation>
    <dataValidation type="list" allowBlank="1" showInputMessage="1" showErrorMessage="1" sqref="C25" xr:uid="{00000000-0002-0000-0A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IF('[1]CANOPY (9)'!C3="","",'[1]CANOPY (9)'!C3)</f>
        <v>#REF!</v>
      </c>
      <c r="D3" s="990"/>
      <c r="E3" s="129"/>
      <c r="F3" s="132" t="s">
        <v>4</v>
      </c>
      <c r="G3" s="938" t="e">
        <f>IF('[1]CANOPY (9)'!G3="","",'[1]CANOPY (9)'!G3)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IF('[1]CANOPY (9)'!C5="","",'[1]CANOPY (9)'!C5)</f>
        <v>#REF!</v>
      </c>
      <c r="D5" s="990"/>
      <c r="E5" s="131"/>
      <c r="F5" s="132" t="s">
        <v>8</v>
      </c>
      <c r="G5" s="938" t="e">
        <f>IF('[1]CANOPY (9)'!G5="","",'[1]CANOPY (9)'!G5)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IF('[1]CANOPY (9)'!C7="","",'[1]CANOPY (9)'!C7)</f>
        <v>#REF!</v>
      </c>
      <c r="D7" s="990"/>
      <c r="E7" s="135"/>
      <c r="F7" s="136" t="s">
        <v>12</v>
      </c>
      <c r="G7" s="939" t="e">
        <f>IF('[1]CANOPY (9)'!G7="","",'[1]CANOPY (9)'!G7)</f>
        <v>#REF!</v>
      </c>
      <c r="H7" s="990"/>
      <c r="I7" s="51"/>
      <c r="J7" s="280"/>
      <c r="K7" s="280" t="s">
        <v>14</v>
      </c>
      <c r="L7" s="484" t="e">
        <f>IF('[1]CANOPY (9)'!O7="","",'[1]CANOPY (9)'!O7)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4362" priority="30">
      <formula>B9="CURRENCY"</formula>
    </cfRule>
    <cfRule type="containsText" dxfId="4361" priority="29" operator="containsText" text="SELECT">
      <formula>NOT(ISERROR(SEARCH("SELECT",B9)))</formula>
    </cfRule>
  </conditionalFormatting>
  <conditionalFormatting sqref="B15:B30">
    <cfRule type="expression" dxfId="4360" priority="2">
      <formula>$D15&gt;0</formula>
    </cfRule>
  </conditionalFormatting>
  <conditionalFormatting sqref="B50 E50:F50">
    <cfRule type="expression" dxfId="4359" priority="53">
      <formula>C41="select controls"</formula>
    </cfRule>
  </conditionalFormatting>
  <conditionalFormatting sqref="C13">
    <cfRule type="containsText" dxfId="4358" priority="33" operator="containsText" text="SELECT">
      <formula>NOT(ISERROR(SEARCH("SELECT",C13)))</formula>
    </cfRule>
  </conditionalFormatting>
  <conditionalFormatting sqref="C15:C23">
    <cfRule type="containsText" dxfId="4357" priority="8" operator="containsText" text="SIZE">
      <formula>NOT(ISERROR(SEARCH("SIZE",C15)))</formula>
    </cfRule>
  </conditionalFormatting>
  <conditionalFormatting sqref="C26">
    <cfRule type="containsText" dxfId="4356" priority="41" operator="containsText" text="SELECT CONTROLS">
      <formula>NOT(ISERROR(SEARCH("SELECT CONTROLS",C26)))</formula>
    </cfRule>
  </conditionalFormatting>
  <conditionalFormatting sqref="C27">
    <cfRule type="expression" dxfId="4355" priority="36">
      <formula>$C$26="SMARTEC"</formula>
    </cfRule>
    <cfRule type="containsText" dxfId="4354" priority="35" operator="containsText" text="st/st">
      <formula>NOT(ISERROR(SEARCH("st/st",C27)))</formula>
    </cfRule>
  </conditionalFormatting>
  <conditionalFormatting sqref="C32:C33">
    <cfRule type="cellIs" dxfId="4353" priority="24" operator="greaterThan">
      <formula>0</formula>
    </cfRule>
  </conditionalFormatting>
  <conditionalFormatting sqref="C53:C62">
    <cfRule type="cellIs" dxfId="4352" priority="32" operator="lessThan">
      <formula>1</formula>
    </cfRule>
  </conditionalFormatting>
  <conditionalFormatting sqref="C9:D9">
    <cfRule type="cellIs" dxfId="4351" priority="27" operator="lessThan">
      <formula>0</formula>
    </cfRule>
    <cfRule type="cellIs" dxfId="4350" priority="28" operator="greaterThan">
      <formula>0</formula>
    </cfRule>
  </conditionalFormatting>
  <conditionalFormatting sqref="C30:D30">
    <cfRule type="expression" dxfId="4349" priority="40">
      <formula>$C$26="REMOTE TOUCH SCREEN"</formula>
    </cfRule>
    <cfRule type="expression" dxfId="4348" priority="39">
      <formula>$C$26="SMARTEC"</formula>
    </cfRule>
  </conditionalFormatting>
  <conditionalFormatting sqref="D27">
    <cfRule type="expression" dxfId="4347" priority="37">
      <formula>C26="SMARTEC"</formula>
    </cfRule>
    <cfRule type="expression" dxfId="4346" priority="34">
      <formula>C27="st/st enclosure"</formula>
    </cfRule>
  </conditionalFormatting>
  <conditionalFormatting sqref="D30">
    <cfRule type="expression" dxfId="4345" priority="38">
      <formula>$C$26="SMARTEC"</formula>
    </cfRule>
  </conditionalFormatting>
  <conditionalFormatting sqref="D39">
    <cfRule type="expression" dxfId="4344" priority="52">
      <formula>#REF!="SMARTEC"</formula>
    </cfRule>
    <cfRule type="expression" dxfId="4343" priority="51">
      <formula>C39="st/st enclosure"</formula>
    </cfRule>
  </conditionalFormatting>
  <conditionalFormatting sqref="E40:E44">
    <cfRule type="expression" dxfId="4342" priority="50">
      <formula>#REF!="select controls"</formula>
    </cfRule>
  </conditionalFormatting>
  <conditionalFormatting sqref="E45 E46:F46 B46:B47 E47:E48 B49 E49:F49">
    <cfRule type="expression" dxfId="4341" priority="31">
      <formula>C39="select controls"</formula>
    </cfRule>
  </conditionalFormatting>
  <conditionalFormatting sqref="F41:F45">
    <cfRule type="expression" dxfId="4340" priority="1">
      <formula>G35="select controls"</formula>
    </cfRule>
  </conditionalFormatting>
  <conditionalFormatting sqref="G15:G37">
    <cfRule type="cellIs" dxfId="4339" priority="9" operator="greaterThan">
      <formula>0</formula>
    </cfRule>
  </conditionalFormatting>
  <conditionalFormatting sqref="G39:G50">
    <cfRule type="cellIs" dxfId="4338" priority="14" operator="greaterThan">
      <formula>0</formula>
    </cfRule>
  </conditionalFormatting>
  <conditionalFormatting sqref="G53:G62">
    <cfRule type="expression" dxfId="4337" priority="15">
      <formula>C53&gt;0</formula>
    </cfRule>
  </conditionalFormatting>
  <conditionalFormatting sqref="H13 J13 L13">
    <cfRule type="expression" dxfId="4336" priority="42">
      <formula>$B$9="EURO"</formula>
    </cfRule>
  </conditionalFormatting>
  <conditionalFormatting sqref="H23">
    <cfRule type="cellIs" dxfId="4335" priority="11" operator="greaterThan">
      <formula>0</formula>
    </cfRule>
  </conditionalFormatting>
  <conditionalFormatting sqref="H25:H62">
    <cfRule type="cellIs" dxfId="4334" priority="23" operator="greaterThan">
      <formula>0</formula>
    </cfRule>
  </conditionalFormatting>
  <conditionalFormatting sqref="H15:L22 L53:L62">
    <cfRule type="cellIs" dxfId="4333" priority="25" operator="greaterThan">
      <formula>0</formula>
    </cfRule>
  </conditionalFormatting>
  <conditionalFormatting sqref="I15:I37">
    <cfRule type="expression" dxfId="4332" priority="12">
      <formula>$C$9&gt;0</formula>
    </cfRule>
  </conditionalFormatting>
  <conditionalFormatting sqref="I23:I37">
    <cfRule type="expression" dxfId="4331" priority="13">
      <formula>$C$9&lt;0</formula>
    </cfRule>
  </conditionalFormatting>
  <conditionalFormatting sqref="I39:I50 I53:I62 I15:I22">
    <cfRule type="expression" dxfId="4330" priority="48">
      <formula>$C$9&lt;0</formula>
    </cfRule>
  </conditionalFormatting>
  <conditionalFormatting sqref="I39:I50 I53:I62">
    <cfRule type="expression" dxfId="4329" priority="47">
      <formula>$C$9&gt;0</formula>
    </cfRule>
  </conditionalFormatting>
  <conditionalFormatting sqref="J38">
    <cfRule type="expression" dxfId="4328" priority="43">
      <formula>$B$9="PLN"</formula>
    </cfRule>
    <cfRule type="expression" dxfId="4327" priority="44">
      <formula>$B$9="CZK"</formula>
    </cfRule>
    <cfRule type="expression" dxfId="4326" priority="45">
      <formula>$B$9="USD"</formula>
    </cfRule>
    <cfRule type="expression" dxfId="4325" priority="46">
      <formula>$B$9="EURO"</formula>
    </cfRule>
  </conditionalFormatting>
  <conditionalFormatting sqref="J64:J70">
    <cfRule type="expression" dxfId="4324" priority="49">
      <formula>#REF!="EURO"</formula>
    </cfRule>
  </conditionalFormatting>
  <conditionalFormatting sqref="K1:K37">
    <cfRule type="expression" dxfId="4323" priority="5">
      <formula>$B$9="USD"</formula>
    </cfRule>
    <cfRule type="expression" dxfId="4322" priority="4">
      <formula>$B$9="EURO"</formula>
    </cfRule>
    <cfRule type="expression" dxfId="4321" priority="6">
      <formula>$B$9="PLN"</formula>
    </cfRule>
  </conditionalFormatting>
  <conditionalFormatting sqref="K1:K1048576">
    <cfRule type="expression" dxfId="4320" priority="7">
      <formula>$B$9="CZK"</formula>
    </cfRule>
  </conditionalFormatting>
  <conditionalFormatting sqref="K15:K37">
    <cfRule type="cellIs" dxfId="4319" priority="3" operator="greaterThan">
      <formula>0</formula>
    </cfRule>
  </conditionalFormatting>
  <conditionalFormatting sqref="K39:K50">
    <cfRule type="cellIs" dxfId="4318" priority="20" operator="greaterThan">
      <formula>0</formula>
    </cfRule>
  </conditionalFormatting>
  <conditionalFormatting sqref="K39:K1048576">
    <cfRule type="expression" dxfId="4317" priority="19">
      <formula>$B$9="PLN"</formula>
    </cfRule>
    <cfRule type="expression" dxfId="4316" priority="18">
      <formula>$B$9="USD"</formula>
    </cfRule>
    <cfRule type="expression" dxfId="4315" priority="17">
      <formula>$B$9="EURO"</formula>
    </cfRule>
  </conditionalFormatting>
  <conditionalFormatting sqref="K51">
    <cfRule type="cellIs" dxfId="4314" priority="26" operator="greaterThan">
      <formula>0</formula>
    </cfRule>
  </conditionalFormatting>
  <conditionalFormatting sqref="K53:K62">
    <cfRule type="cellIs" dxfId="4313" priority="16" operator="greaterThan">
      <formula>0</formula>
    </cfRule>
  </conditionalFormatting>
  <conditionalFormatting sqref="L23:L37">
    <cfRule type="cellIs" dxfId="4312" priority="10" operator="greaterThan">
      <formula>0</formula>
    </cfRule>
  </conditionalFormatting>
  <conditionalFormatting sqref="L39:L50">
    <cfRule type="cellIs" dxfId="4311" priority="22" operator="greaterThan">
      <formula>0</formula>
    </cfRule>
  </conditionalFormatting>
  <conditionalFormatting sqref="T41">
    <cfRule type="cellIs" dxfId="4310" priority="21" operator="greaterThan">
      <formula>0</formula>
    </cfRule>
  </conditionalFormatting>
  <dataValidations count="3">
    <dataValidation type="list" allowBlank="1" showInputMessage="1" showErrorMessage="1" sqref="C26" xr:uid="{00000000-0002-0000-0B00-000000000000}">
      <formula1>"SELECT CONTROLS,SMARTEC, REMOTE TOUCH SCREEN"</formula1>
    </dataValidation>
    <dataValidation type="list" allowBlank="1" showInputMessage="1" showErrorMessage="1" sqref="C13" xr:uid="{00000000-0002-0000-0B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0B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IF('[1]CANOPY (9)'!C3="","",'[1]CANOPY (9)'!C3)</f>
        <v>#REF!</v>
      </c>
      <c r="E3" s="934"/>
      <c r="G3" s="71" t="s">
        <v>4</v>
      </c>
      <c r="H3" s="935" t="e">
        <f>IF('[1]CANOPY (9)'!G3="","",'[1]CANOPY (9)'!G3)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IF('[1]CANOPY (9)'!C5="","",'[1]CANOPY (9)'!C5)</f>
        <v>#REF!</v>
      </c>
      <c r="E5" s="934"/>
      <c r="G5" s="71" t="s">
        <v>8</v>
      </c>
      <c r="H5" s="935" t="e">
        <f>IF('[1]CANOPY (9)'!G5="","",'[1]CANOPY (9)'!G5)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IF('[1]CANOPY (9)'!C7="","",'[1]CANOPY (9)'!C7)</f>
        <v>#REF!</v>
      </c>
      <c r="E7" s="934"/>
      <c r="G7" s="71" t="s">
        <v>12</v>
      </c>
      <c r="H7" s="939" t="e">
        <f>IF('[1]CANOPY (9)'!G7="","",'[1]CANOPY (9)'!G7)</f>
        <v>#REF!</v>
      </c>
      <c r="I7" s="936"/>
      <c r="J7" s="937"/>
      <c r="N7" s="266" t="s">
        <v>14</v>
      </c>
      <c r="O7" s="787" t="e">
        <f>IF('[1]CANOPY (9)'!O7="","",'[1]CANOPY (9)'!O7)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4309" priority="26">
      <formula>C9="CURRENCY"</formula>
    </cfRule>
    <cfRule type="containsText" dxfId="4308" priority="25" operator="containsText" text="SELECT">
      <formula>NOT(ISERROR(SEARCH("SELECT",C9)))</formula>
    </cfRule>
  </conditionalFormatting>
  <conditionalFormatting sqref="C14:C23">
    <cfRule type="expression" dxfId="4307" priority="1">
      <formula>$J14&gt;0</formula>
    </cfRule>
  </conditionalFormatting>
  <conditionalFormatting sqref="C27:C37">
    <cfRule type="expression" dxfId="4306" priority="10">
      <formula>$D27&gt;0</formula>
    </cfRule>
  </conditionalFormatting>
  <conditionalFormatting sqref="D27:D28 D30:D37">
    <cfRule type="cellIs" dxfId="4305" priority="27" operator="lessThan">
      <formula>1</formula>
    </cfRule>
  </conditionalFormatting>
  <conditionalFormatting sqref="D29">
    <cfRule type="cellIs" dxfId="4304" priority="22" operator="lessThan">
      <formula>1</formula>
    </cfRule>
  </conditionalFormatting>
  <conditionalFormatting sqref="D9:E9">
    <cfRule type="cellIs" dxfId="4303" priority="23" operator="lessThan">
      <formula>0</formula>
    </cfRule>
    <cfRule type="cellIs" dxfId="4302" priority="24" operator="greaterThan">
      <formula>0</formula>
    </cfRule>
  </conditionalFormatting>
  <conditionalFormatting sqref="F12">
    <cfRule type="cellIs" dxfId="4301" priority="37" operator="greaterThan">
      <formula>2000</formula>
    </cfRule>
    <cfRule type="expression" dxfId="4300" priority="36">
      <formula>ISNUMBER(SEARCH("I-MUAP",#REF!))</formula>
    </cfRule>
    <cfRule type="expression" dxfId="4299" priority="35">
      <formula>AND((ISNUMBER(SEARCH("I-MUAP",#REF!))),F12&lt;2500)</formula>
    </cfRule>
  </conditionalFormatting>
  <conditionalFormatting sqref="F12:G12">
    <cfRule type="cellIs" dxfId="4298" priority="28" operator="lessThan">
      <formula>1000</formula>
    </cfRule>
  </conditionalFormatting>
  <conditionalFormatting sqref="F14:G19">
    <cfRule type="cellIs" dxfId="4297" priority="3" operator="lessThan">
      <formula>1000</formula>
    </cfRule>
  </conditionalFormatting>
  <conditionalFormatting sqref="G12">
    <cfRule type="cellIs" dxfId="4296" priority="29" operator="greaterThan">
      <formula>3001</formula>
    </cfRule>
  </conditionalFormatting>
  <conditionalFormatting sqref="H11">
    <cfRule type="expression" dxfId="4295" priority="38">
      <formula>((#REF!-50)/#REF!)&lt;950</formula>
    </cfRule>
  </conditionalFormatting>
  <conditionalFormatting sqref="H12">
    <cfRule type="expression" dxfId="4294" priority="39">
      <formula>((#REF!-50)/#REF!)&lt;950</formula>
    </cfRule>
  </conditionalFormatting>
  <conditionalFormatting sqref="H14:H19">
    <cfRule type="cellIs" dxfId="4293" priority="4" operator="lessThan">
      <formula>400</formula>
    </cfRule>
  </conditionalFormatting>
  <conditionalFormatting sqref="H24">
    <cfRule type="expression" dxfId="4292" priority="34">
      <formula>((#REF!-50)/#REF!)&lt;950</formula>
    </cfRule>
  </conditionalFormatting>
  <conditionalFormatting sqref="J14:J21">
    <cfRule type="cellIs" dxfId="4291" priority="15" operator="greaterThan">
      <formula>0</formula>
    </cfRule>
  </conditionalFormatting>
  <conditionalFormatting sqref="J27:J37">
    <cfRule type="expression" dxfId="4290" priority="16">
      <formula>D27&gt;0</formula>
    </cfRule>
  </conditionalFormatting>
  <conditionalFormatting sqref="J39:J45">
    <cfRule type="expression" dxfId="4289" priority="44">
      <formula>#REF!="EURO"</formula>
    </cfRule>
  </conditionalFormatting>
  <conditionalFormatting sqref="K14:K23 N14:O23">
    <cfRule type="cellIs" dxfId="4288" priority="2" operator="greaterThan">
      <formula>0</formula>
    </cfRule>
  </conditionalFormatting>
  <conditionalFormatting sqref="K27:K37">
    <cfRule type="cellIs" dxfId="4287" priority="21" operator="greaterThan">
      <formula>0</formula>
    </cfRule>
  </conditionalFormatting>
  <conditionalFormatting sqref="K39:K45">
    <cfRule type="expression" dxfId="4286" priority="40">
      <formula>$C$9="PLN"</formula>
    </cfRule>
    <cfRule type="expression" dxfId="4285" priority="41">
      <formula>$C$9="CZK"</formula>
    </cfRule>
    <cfRule type="expression" dxfId="4284" priority="42">
      <formula>$C$9="USD"</formula>
    </cfRule>
    <cfRule type="expression" dxfId="4283" priority="43">
      <formula>$C$9="EURO"</formula>
    </cfRule>
  </conditionalFormatting>
  <conditionalFormatting sqref="L14:L23">
    <cfRule type="expression" dxfId="4282" priority="14">
      <formula>$D$9&gt;0</formula>
    </cfRule>
    <cfRule type="expression" dxfId="4281" priority="13">
      <formula>$D$9&lt;0</formula>
    </cfRule>
  </conditionalFormatting>
  <conditionalFormatting sqref="L27:L37">
    <cfRule type="expression" dxfId="4280" priority="12">
      <formula>$D$9&gt;0</formula>
    </cfRule>
    <cfRule type="expression" dxfId="4279" priority="11">
      <formula>$D$9&lt;0</formula>
    </cfRule>
  </conditionalFormatting>
  <conditionalFormatting sqref="N9 N12">
    <cfRule type="expression" dxfId="4278" priority="30">
      <formula>$C$9="PLN"</formula>
    </cfRule>
    <cfRule type="expression" dxfId="4277" priority="31">
      <formula>$C$9="CZK"</formula>
    </cfRule>
    <cfRule type="expression" dxfId="4276" priority="32">
      <formula>$C$9="USD"</formula>
    </cfRule>
    <cfRule type="expression" dxfId="4275" priority="33">
      <formula>$C$9="EURO"</formula>
    </cfRule>
  </conditionalFormatting>
  <conditionalFormatting sqref="N14:N23">
    <cfRule type="expression" dxfId="4274" priority="20">
      <formula>$C$9="EURO"</formula>
    </cfRule>
    <cfRule type="expression" dxfId="4273" priority="19">
      <formula>$C$9="USD"</formula>
    </cfRule>
    <cfRule type="expression" dxfId="4272" priority="18">
      <formula>$C$9="CZK"</formula>
    </cfRule>
    <cfRule type="expression" dxfId="4271" priority="17">
      <formula>$C$9="PLN"</formula>
    </cfRule>
  </conditionalFormatting>
  <conditionalFormatting sqref="N26:N37">
    <cfRule type="expression" dxfId="4270" priority="6">
      <formula>$C$9="PLN"</formula>
    </cfRule>
    <cfRule type="expression" dxfId="4269" priority="7">
      <formula>$C$9="CZK"</formula>
    </cfRule>
    <cfRule type="expression" dxfId="4268" priority="9">
      <formula>$C$9="EURO"</formula>
    </cfRule>
    <cfRule type="expression" dxfId="4267" priority="8">
      <formula>$C$9="USD"</formula>
    </cfRule>
  </conditionalFormatting>
  <conditionalFormatting sqref="N27:O37">
    <cfRule type="cellIs" dxfId="4266" priority="5" operator="greaterThan">
      <formula>0</formula>
    </cfRule>
  </conditionalFormatting>
  <dataValidations count="3">
    <dataValidation operator="greaterThan" allowBlank="1" showInputMessage="1" showErrorMessage="1" sqref="F14:F19" xr:uid="{00000000-0002-0000-0C00-000000000000}"/>
    <dataValidation type="list" allowBlank="1" showInputMessage="1" showErrorMessage="1" sqref="E14:E23" xr:uid="{00000000-0002-0000-0C00-000001000000}">
      <formula1>"0,1,2,3,4,5,6,7,8,9,10,11,12,13,14,15,16,17,18,19,20"</formula1>
    </dataValidation>
    <dataValidation type="list" allowBlank="1" showInputMessage="1" showErrorMessage="1" sqref="H25" xr:uid="{00000000-0002-0000-0C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IF('[1]CANOPY (9)'!C3="","",'[1]CANOPY (9)'!C3)</f>
        <v>#REF!</v>
      </c>
      <c r="E3" s="934"/>
      <c r="G3" s="71" t="s">
        <v>4</v>
      </c>
      <c r="H3" s="935" t="e">
        <f>IF('[1]CANOPY (9)'!G3="","",'[1]CANOPY (9)'!G3)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IF('[1]CANOPY (9)'!C5="","",'[1]CANOPY (9)'!C5)</f>
        <v>#REF!</v>
      </c>
      <c r="E5" s="934"/>
      <c r="G5" s="71" t="s">
        <v>8</v>
      </c>
      <c r="H5" s="935" t="e">
        <f>IF('[1]CANOPY (9)'!G5="","",'[1]CANOPY (9)'!G5)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IF('[1]CANOPY (9)'!C7="","",'[1]CANOPY (9)'!C7)</f>
        <v>#REF!</v>
      </c>
      <c r="E7" s="934"/>
      <c r="G7" s="71" t="s">
        <v>12</v>
      </c>
      <c r="H7" s="939" t="e">
        <f>IF('[1]CANOPY (9)'!G7="","",'[1]CANOPY (9)'!G7)</f>
        <v>#REF!</v>
      </c>
      <c r="I7" s="936"/>
      <c r="J7" s="937"/>
      <c r="N7" s="266" t="s">
        <v>14</v>
      </c>
      <c r="O7" s="787" t="e">
        <f>IF('[1]CANOPY (9)'!O7="","",'[1]CANOPY (9)'!O7)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4265" priority="34">
      <formula>C9="CURRENCY"</formula>
    </cfRule>
    <cfRule type="containsText" dxfId="4264" priority="33" operator="containsText" text="SELECT">
      <formula>NOT(ISERROR(SEARCH("SELECT",C9)))</formula>
    </cfRule>
  </conditionalFormatting>
  <conditionalFormatting sqref="C14:C32">
    <cfRule type="expression" dxfId="4263" priority="10">
      <formula>$J14&gt;0</formula>
    </cfRule>
  </conditionalFormatting>
  <conditionalFormatting sqref="C36:C46">
    <cfRule type="expression" dxfId="4262" priority="9">
      <formula>$D36&gt;0</formula>
    </cfRule>
  </conditionalFormatting>
  <conditionalFormatting sqref="D36:D37 D39:D46">
    <cfRule type="cellIs" dxfId="4261" priority="35" operator="lessThan">
      <formula>1</formula>
    </cfRule>
  </conditionalFormatting>
  <conditionalFormatting sqref="D38">
    <cfRule type="cellIs" dxfId="4260" priority="30" operator="lessThan">
      <formula>1</formula>
    </cfRule>
  </conditionalFormatting>
  <conditionalFormatting sqref="D9:E9">
    <cfRule type="cellIs" dxfId="4259" priority="32" operator="greaterThan">
      <formula>0</formula>
    </cfRule>
    <cfRule type="cellIs" dxfId="4258" priority="31" operator="lessThan">
      <formula>0</formula>
    </cfRule>
  </conditionalFormatting>
  <conditionalFormatting sqref="F12">
    <cfRule type="cellIs" dxfId="4257" priority="42" operator="greaterThan">
      <formula>2000</formula>
    </cfRule>
    <cfRule type="expression" dxfId="4256" priority="41">
      <formula>ISNUMBER(SEARCH("I-MUAP",$E$14))</formula>
    </cfRule>
    <cfRule type="expression" dxfId="4255" priority="40">
      <formula>AND((ISNUMBER(SEARCH("I-MUAP",$E$14))),F12&lt;2500)</formula>
    </cfRule>
  </conditionalFormatting>
  <conditionalFormatting sqref="F12:G12">
    <cfRule type="cellIs" dxfId="4254" priority="36" operator="lessThan">
      <formula>1000</formula>
    </cfRule>
  </conditionalFormatting>
  <conditionalFormatting sqref="F14:G26">
    <cfRule type="cellIs" dxfId="4253" priority="2" operator="lessThan">
      <formula>1000</formula>
    </cfRule>
  </conditionalFormatting>
  <conditionalFormatting sqref="G12">
    <cfRule type="cellIs" dxfId="4252" priority="37" operator="greaterThan">
      <formula>3001</formula>
    </cfRule>
  </conditionalFormatting>
  <conditionalFormatting sqref="H11">
    <cfRule type="expression" dxfId="4251" priority="39">
      <formula>((G14-50)/I14)&lt;950</formula>
    </cfRule>
  </conditionalFormatting>
  <conditionalFormatting sqref="H12">
    <cfRule type="expression" dxfId="4250" priority="38">
      <formula>((G14-50)/I14)&lt;950</formula>
    </cfRule>
  </conditionalFormatting>
  <conditionalFormatting sqref="H14:H26">
    <cfRule type="cellIs" dxfId="4249" priority="3" operator="lessThan">
      <formula>400</formula>
    </cfRule>
  </conditionalFormatting>
  <conditionalFormatting sqref="H33">
    <cfRule type="expression" dxfId="4248" priority="47">
      <formula>((#REF!-50)/#REF!)&lt;950</formula>
    </cfRule>
  </conditionalFormatting>
  <conditionalFormatting sqref="J14:J30">
    <cfRule type="cellIs" dxfId="4247" priority="15" operator="greaterThan">
      <formula>0</formula>
    </cfRule>
  </conditionalFormatting>
  <conditionalFormatting sqref="J36:J46">
    <cfRule type="expression" dxfId="4246" priority="23">
      <formula>D36&gt;0</formula>
    </cfRule>
  </conditionalFormatting>
  <conditionalFormatting sqref="J48:J54">
    <cfRule type="expression" dxfId="4245" priority="28">
      <formula>#REF!="EURO"</formula>
    </cfRule>
  </conditionalFormatting>
  <conditionalFormatting sqref="K14:K32">
    <cfRule type="cellIs" dxfId="4244" priority="1" operator="greaterThan">
      <formula>0</formula>
    </cfRule>
  </conditionalFormatting>
  <conditionalFormatting sqref="K36:K46">
    <cfRule type="cellIs" dxfId="4243" priority="29" operator="greaterThan">
      <formula>0</formula>
    </cfRule>
  </conditionalFormatting>
  <conditionalFormatting sqref="K48:K54">
    <cfRule type="expression" dxfId="4242" priority="24">
      <formula>$C$9="PLN"</formula>
    </cfRule>
    <cfRule type="expression" dxfId="4241" priority="25">
      <formula>$C$9="CZK"</formula>
    </cfRule>
    <cfRule type="expression" dxfId="4240" priority="26">
      <formula>$C$9="USD"</formula>
    </cfRule>
    <cfRule type="expression" dxfId="4239" priority="27">
      <formula>$C$9="EURO"</formula>
    </cfRule>
  </conditionalFormatting>
  <conditionalFormatting sqref="L14:L32">
    <cfRule type="expression" dxfId="4238" priority="13">
      <formula>$D$9&lt;0</formula>
    </cfRule>
    <cfRule type="expression" dxfId="4237" priority="14">
      <formula>$D$9&gt;0</formula>
    </cfRule>
  </conditionalFormatting>
  <conditionalFormatting sqref="L36:L46">
    <cfRule type="expression" dxfId="4236" priority="12">
      <formula>$D$9&gt;0</formula>
    </cfRule>
    <cfRule type="expression" dxfId="4235" priority="11">
      <formula>$D$9&lt;0</formula>
    </cfRule>
  </conditionalFormatting>
  <conditionalFormatting sqref="N9 N12">
    <cfRule type="expression" dxfId="4234" priority="43">
      <formula>$C$9="PLN"</formula>
    </cfRule>
    <cfRule type="expression" dxfId="4233" priority="44">
      <formula>$C$9="CZK"</formula>
    </cfRule>
    <cfRule type="expression" dxfId="4232" priority="45">
      <formula>$C$9="USD"</formula>
    </cfRule>
    <cfRule type="expression" dxfId="4231" priority="46">
      <formula>$C$9="EURO"</formula>
    </cfRule>
  </conditionalFormatting>
  <conditionalFormatting sqref="N14:N32">
    <cfRule type="expression" dxfId="4230" priority="20">
      <formula>$C$9="EURO"</formula>
    </cfRule>
    <cfRule type="expression" dxfId="4229" priority="19">
      <formula>$C$9="USD"</formula>
    </cfRule>
    <cfRule type="expression" dxfId="4228" priority="18">
      <formula>$C$9="CZK"</formula>
    </cfRule>
    <cfRule type="expression" dxfId="4227" priority="17">
      <formula>$C$9="PLN"</formula>
    </cfRule>
  </conditionalFormatting>
  <conditionalFormatting sqref="N18:N20">
    <cfRule type="cellIs" dxfId="4226" priority="21" operator="greaterThan">
      <formula>0</formula>
    </cfRule>
  </conditionalFormatting>
  <conditionalFormatting sqref="N35:N46">
    <cfRule type="expression" dxfId="4225" priority="8">
      <formula>$C$9="EURO"</formula>
    </cfRule>
    <cfRule type="expression" dxfId="4224" priority="7">
      <formula>$C$9="USD"</formula>
    </cfRule>
    <cfRule type="expression" dxfId="4223" priority="6">
      <formula>$C$9="CZK"</formula>
    </cfRule>
    <cfRule type="expression" dxfId="4222" priority="5">
      <formula>$C$9="PLN"</formula>
    </cfRule>
  </conditionalFormatting>
  <conditionalFormatting sqref="N14:O32">
    <cfRule type="cellIs" dxfId="4221" priority="16" operator="greaterThan">
      <formula>0</formula>
    </cfRule>
  </conditionalFormatting>
  <conditionalFormatting sqref="N36:O46">
    <cfRule type="cellIs" dxfId="4220" priority="4" operator="greaterThan">
      <formula>0</formula>
    </cfRule>
  </conditionalFormatting>
  <conditionalFormatting sqref="O14:O20">
    <cfRule type="cellIs" dxfId="4219" priority="22" operator="greaterThan">
      <formula>0</formula>
    </cfRule>
  </conditionalFormatting>
  <dataValidations count="3">
    <dataValidation type="list" allowBlank="1" showInputMessage="1" showErrorMessage="1" sqref="H34" xr:uid="{00000000-0002-0000-0D00-000000000000}">
      <formula1>#REF!</formula1>
    </dataValidation>
    <dataValidation operator="greaterThan" allowBlank="1" showInputMessage="1" showErrorMessage="1" sqref="F14:F26" xr:uid="{00000000-0002-0000-0D00-000001000000}"/>
    <dataValidation type="list" allowBlank="1" showInputMessage="1" showErrorMessage="1" sqref="E14:E32" xr:uid="{00000000-0002-0000-0D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IF('[3]CANOPY (10)'!G3="","",'[3]CANOPY (10)'!G3)</f>
        <v>#REF!</v>
      </c>
      <c r="I2" s="975"/>
      <c r="J2" s="975"/>
      <c r="K2" s="975"/>
      <c r="L2" s="976"/>
      <c r="M2" s="483" t="s">
        <v>368</v>
      </c>
      <c r="N2" s="974" t="e">
        <f>IF('[3]CANOPY (10)'!C3="","",'[3]CANOPY (10)'!C3)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IF('[3]CANOPY (10)'!G3="","",'[3]CANOPY (10)'!G3)</f>
        <v>#REF!</v>
      </c>
      <c r="I2" s="975"/>
      <c r="J2" s="975"/>
      <c r="K2" s="975"/>
      <c r="L2" s="976"/>
      <c r="M2" s="483" t="s">
        <v>368</v>
      </c>
      <c r="N2" s="974" t="e">
        <f>IF('[3]CANOPY (10)'!C3="","",'[3]CANOPY (10)'!C3)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IF('[3]CANOPY (10)'!G3="","",'[3]CANOPY (10)'!G3)</f>
        <v>#REF!</v>
      </c>
      <c r="I2" s="975"/>
      <c r="J2" s="975"/>
      <c r="K2" s="975"/>
      <c r="L2" s="976"/>
      <c r="M2" s="483" t="s">
        <v>368</v>
      </c>
      <c r="N2" s="974" t="e">
        <f>IF('[3]CANOPY (10)'!C3="","",'[3]CANOPY (10)'!C3)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IF('[3]CANOPY (10)'!C3="","",'[3]CANOPY (10)'!C3)</f>
        <v>#REF!</v>
      </c>
      <c r="D3" s="979"/>
      <c r="E3" s="103" t="s">
        <v>4</v>
      </c>
      <c r="F3" s="935" t="e">
        <f>IF('[3]CANOPY (10)'!G3="","",'[3]CANOPY (10)'!G3)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IF('[3]CANOPY (10)'!C5="","",'[3]CANOPY (10)'!C5)</f>
        <v>#REF!</v>
      </c>
      <c r="D5" s="979"/>
      <c r="E5" s="103" t="s">
        <v>8</v>
      </c>
      <c r="F5" s="935" t="e">
        <f>IF('[3]CANOPY (10)'!G5="","",'[3]CANOPY (10)'!G5)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IF('[3]CANOPY (10)'!C7="","",'[3]CANOPY (10)'!C7)</f>
        <v>#REF!</v>
      </c>
      <c r="D7" s="979"/>
      <c r="E7" s="103" t="s">
        <v>12</v>
      </c>
      <c r="F7" s="939" t="e">
        <f>IF('[3]CANOPY (10)'!G7="","",'[3]CANOPY (10)'!G7)</f>
        <v>#REF!</v>
      </c>
      <c r="G7" s="979"/>
      <c r="H7" s="245"/>
      <c r="J7" s="240" t="s">
        <v>14</v>
      </c>
      <c r="K7" s="787" t="e">
        <f>IF('[3]CANOPY (10)'!O7="","",'[3]CANOPY (10)'!O7)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4218" priority="24">
      <formula>B9="CURRENCY"</formula>
    </cfRule>
    <cfRule type="containsText" dxfId="4217" priority="23" operator="containsText" text="SELECT">
      <formula>NOT(ISERROR(SEARCH("SELECT",B9)))</formula>
    </cfRule>
  </conditionalFormatting>
  <conditionalFormatting sqref="B13:B24">
    <cfRule type="expression" dxfId="4216" priority="6">
      <formula>$C13&gt;0</formula>
    </cfRule>
  </conditionalFormatting>
  <conditionalFormatting sqref="B25:B39">
    <cfRule type="expression" dxfId="4215" priority="5">
      <formula>$C25&gt;0</formula>
    </cfRule>
  </conditionalFormatting>
  <conditionalFormatting sqref="B40:B42">
    <cfRule type="expression" dxfId="4214" priority="4">
      <formula>$C40&gt;0</formula>
    </cfRule>
  </conditionalFormatting>
  <conditionalFormatting sqref="B43:B50">
    <cfRule type="expression" dxfId="4213" priority="1">
      <formula>$C43&gt;0</formula>
    </cfRule>
  </conditionalFormatting>
  <conditionalFormatting sqref="B51:B54">
    <cfRule type="expression" dxfId="4212" priority="3">
      <formula>$C51&gt;0</formula>
    </cfRule>
  </conditionalFormatting>
  <conditionalFormatting sqref="B57:B66">
    <cfRule type="expression" dxfId="4211" priority="2">
      <formula>$C57&gt;0</formula>
    </cfRule>
  </conditionalFormatting>
  <conditionalFormatting sqref="C13:C54">
    <cfRule type="cellIs" dxfId="4210" priority="10" operator="lessThan">
      <formula>1</formula>
    </cfRule>
  </conditionalFormatting>
  <conditionalFormatting sqref="C57:C66">
    <cfRule type="cellIs" dxfId="4209" priority="26" operator="equal">
      <formula>0</formula>
    </cfRule>
  </conditionalFormatting>
  <conditionalFormatting sqref="C9:D9">
    <cfRule type="cellIs" dxfId="4208" priority="20" operator="lessThan">
      <formula>0</formula>
    </cfRule>
    <cfRule type="cellIs" dxfId="4207" priority="21" operator="greaterThan">
      <formula>0</formula>
    </cfRule>
  </conditionalFormatting>
  <conditionalFormatting sqref="F13:F54">
    <cfRule type="expression" dxfId="4206" priority="9">
      <formula>C13&gt;0</formula>
    </cfRule>
  </conditionalFormatting>
  <conditionalFormatting sqref="F57:F66">
    <cfRule type="expression" dxfId="4205" priority="19">
      <formula>C57&gt;0</formula>
    </cfRule>
  </conditionalFormatting>
  <conditionalFormatting sqref="F58:F66">
    <cfRule type="expression" dxfId="4204" priority="25">
      <formula>C58&lt;1</formula>
    </cfRule>
  </conditionalFormatting>
  <conditionalFormatting sqref="G13:G54">
    <cfRule type="cellIs" dxfId="4203" priority="8" operator="greaterThan">
      <formula>0</formula>
    </cfRule>
  </conditionalFormatting>
  <conditionalFormatting sqref="G57:G66">
    <cfRule type="cellIs" dxfId="4202" priority="18" operator="greaterThan">
      <formula>0</formula>
    </cfRule>
  </conditionalFormatting>
  <conditionalFormatting sqref="H13:H54">
    <cfRule type="expression" dxfId="4201" priority="15">
      <formula>$C$9&gt;0</formula>
    </cfRule>
    <cfRule type="expression" dxfId="4200" priority="16">
      <formula>$C$9&lt;0</formula>
    </cfRule>
  </conditionalFormatting>
  <conditionalFormatting sqref="H57:H66">
    <cfRule type="expression" dxfId="4199" priority="32">
      <formula>$C$9&lt;0</formula>
    </cfRule>
    <cfRule type="expression" dxfId="4198" priority="31">
      <formula>$C$9&gt;0</formula>
    </cfRule>
  </conditionalFormatting>
  <conditionalFormatting sqref="J2:J6 J75:J1048576">
    <cfRule type="expression" dxfId="4197" priority="27">
      <formula>$B$9="EURO"</formula>
    </cfRule>
  </conditionalFormatting>
  <conditionalFormatting sqref="J8:J67">
    <cfRule type="expression" dxfId="4196" priority="11">
      <formula>$B$9="EURO"</formula>
    </cfRule>
  </conditionalFormatting>
  <conditionalFormatting sqref="J9 J56:J66">
    <cfRule type="expression" dxfId="4195" priority="28">
      <formula>$B$9="USD"</formula>
    </cfRule>
    <cfRule type="expression" dxfId="4194" priority="29">
      <formula>$B$9="PLN"</formula>
    </cfRule>
    <cfRule type="expression" dxfId="4193" priority="30">
      <formula>$B$9="CZK"</formula>
    </cfRule>
  </conditionalFormatting>
  <conditionalFormatting sqref="J12:J54">
    <cfRule type="expression" dxfId="4192" priority="14">
      <formula>$B$9="CZK"</formula>
    </cfRule>
    <cfRule type="expression" dxfId="4191" priority="13">
      <formula>$B$9="PLN"</formula>
    </cfRule>
    <cfRule type="expression" dxfId="4190" priority="12">
      <formula>$B$9="USD"</formula>
    </cfRule>
  </conditionalFormatting>
  <conditionalFormatting sqref="J68:J74">
    <cfRule type="expression" dxfId="4189" priority="22">
      <formula>$F$10="EURO"</formula>
    </cfRule>
  </conditionalFormatting>
  <conditionalFormatting sqref="J13:K54">
    <cfRule type="cellIs" dxfId="4188" priority="7" operator="greaterThan">
      <formula>0</formula>
    </cfRule>
  </conditionalFormatting>
  <conditionalFormatting sqref="J57:K66">
    <cfRule type="cellIs" dxfId="4187" priority="17" operator="greaterThan">
      <formula>0</formula>
    </cfRule>
  </conditionalFormatting>
  <dataValidations count="1">
    <dataValidation type="list" allowBlank="1" showInputMessage="1" showErrorMessage="1" sqref="D55" xr:uid="{00000000-0002-0000-11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IF('[3]CANOPY (10)'!C3="","",'[3]CANOPY (10)'!C3)</f>
        <v>#REF!</v>
      </c>
      <c r="D3" s="979"/>
      <c r="E3" s="103" t="s">
        <v>4</v>
      </c>
      <c r="F3" s="935" t="e">
        <f>IF('[3]CANOPY (10)'!G3="","",'[3]CANOPY (10)'!G3)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IF('[3]CANOPY (10)'!C5="","",'[3]CANOPY (10)'!C5)</f>
        <v>#REF!</v>
      </c>
      <c r="D5" s="979"/>
      <c r="E5" s="103" t="s">
        <v>8</v>
      </c>
      <c r="F5" s="935" t="e">
        <f>IF('[3]CANOPY (10)'!G5="","",'[3]CANOPY (10)'!G5)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IF('[3]CANOPY (10)'!C7="","",'[3]CANOPY (10)'!C7)</f>
        <v>#REF!</v>
      </c>
      <c r="D7" s="979"/>
      <c r="E7" s="103" t="s">
        <v>12</v>
      </c>
      <c r="F7" s="939" t="e">
        <f>IF('[3]CANOPY (10)'!G7="","",'[3]CANOPY (10)'!G7)</f>
        <v>#REF!</v>
      </c>
      <c r="G7" s="979"/>
      <c r="H7" s="245"/>
      <c r="J7" s="240" t="s">
        <v>14</v>
      </c>
      <c r="K7" s="787" t="e">
        <f>IF('[3]CANOPY (10)'!O7="","",'[3]CANOPY (10)'!O7)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4186" priority="27">
      <formula>B9="CURRENCY"</formula>
    </cfRule>
    <cfRule type="containsText" dxfId="4185" priority="26" operator="containsText" text="SELECT">
      <formula>NOT(ISERROR(SEARCH("SELECT",B9)))</formula>
    </cfRule>
  </conditionalFormatting>
  <conditionalFormatting sqref="B13:B24">
    <cfRule type="expression" dxfId="4184" priority="4">
      <formula>$C13&gt;0</formula>
    </cfRule>
  </conditionalFormatting>
  <conditionalFormatting sqref="B25:B39">
    <cfRule type="expression" dxfId="4183" priority="3">
      <formula>$C25&gt;0</formula>
    </cfRule>
  </conditionalFormatting>
  <conditionalFormatting sqref="B40:B54">
    <cfRule type="expression" dxfId="4182" priority="2">
      <formula>$C40&gt;0</formula>
    </cfRule>
  </conditionalFormatting>
  <conditionalFormatting sqref="B57:B66">
    <cfRule type="expression" dxfId="4181" priority="1">
      <formula>$C57&gt;0</formula>
    </cfRule>
  </conditionalFormatting>
  <conditionalFormatting sqref="C13:C54">
    <cfRule type="cellIs" dxfId="4180" priority="13" operator="lessThan">
      <formula>1</formula>
    </cfRule>
  </conditionalFormatting>
  <conditionalFormatting sqref="C57:C66">
    <cfRule type="cellIs" dxfId="4179" priority="29" operator="equal">
      <formula>0</formula>
    </cfRule>
  </conditionalFormatting>
  <conditionalFormatting sqref="C9:D9">
    <cfRule type="cellIs" dxfId="4178" priority="24" operator="greaterThan">
      <formula>0</formula>
    </cfRule>
    <cfRule type="cellIs" dxfId="4177" priority="23" operator="lessThan">
      <formula>0</formula>
    </cfRule>
  </conditionalFormatting>
  <conditionalFormatting sqref="F13:F54">
    <cfRule type="expression" dxfId="4176" priority="12">
      <formula>C13&gt;0</formula>
    </cfRule>
  </conditionalFormatting>
  <conditionalFormatting sqref="F57:F66">
    <cfRule type="expression" dxfId="4175" priority="22">
      <formula>C57&gt;0</formula>
    </cfRule>
  </conditionalFormatting>
  <conditionalFormatting sqref="F58:F66">
    <cfRule type="expression" dxfId="4174" priority="28">
      <formula>C58&lt;1</formula>
    </cfRule>
  </conditionalFormatting>
  <conditionalFormatting sqref="G13:G54">
    <cfRule type="cellIs" dxfId="4173" priority="11" operator="greaterThan">
      <formula>0</formula>
    </cfRule>
  </conditionalFormatting>
  <conditionalFormatting sqref="G57:G66">
    <cfRule type="cellIs" dxfId="4172" priority="21" operator="greaterThan">
      <formula>0</formula>
    </cfRule>
  </conditionalFormatting>
  <conditionalFormatting sqref="H13:H54">
    <cfRule type="expression" dxfId="4171" priority="18">
      <formula>$C$9&gt;0</formula>
    </cfRule>
    <cfRule type="expression" dxfId="4170" priority="19">
      <formula>$C$9&lt;0</formula>
    </cfRule>
  </conditionalFormatting>
  <conditionalFormatting sqref="H57:H66">
    <cfRule type="expression" dxfId="4169" priority="34">
      <formula>$C$9&gt;0</formula>
    </cfRule>
    <cfRule type="expression" dxfId="4168" priority="35">
      <formula>$C$9&lt;0</formula>
    </cfRule>
  </conditionalFormatting>
  <conditionalFormatting sqref="J2:J6 J75:J1048576">
    <cfRule type="expression" dxfId="4167" priority="30">
      <formula>$B$9="EURO"</formula>
    </cfRule>
  </conditionalFormatting>
  <conditionalFormatting sqref="J8:J67">
    <cfRule type="expression" dxfId="4166" priority="14">
      <formula>$B$9="EURO"</formula>
    </cfRule>
  </conditionalFormatting>
  <conditionalFormatting sqref="J9 J56:J66">
    <cfRule type="expression" dxfId="4165" priority="31">
      <formula>$B$9="USD"</formula>
    </cfRule>
    <cfRule type="expression" dxfId="4164" priority="32">
      <formula>$B$9="PLN"</formula>
    </cfRule>
    <cfRule type="expression" dxfId="4163" priority="33">
      <formula>$B$9="CZK"</formula>
    </cfRule>
  </conditionalFormatting>
  <conditionalFormatting sqref="J12:J54">
    <cfRule type="expression" dxfId="4162" priority="17">
      <formula>$B$9="CZK"</formula>
    </cfRule>
    <cfRule type="expression" dxfId="4161" priority="16">
      <formula>$B$9="PLN"</formula>
    </cfRule>
    <cfRule type="expression" dxfId="4160" priority="15">
      <formula>$B$9="USD"</formula>
    </cfRule>
  </conditionalFormatting>
  <conditionalFormatting sqref="J68:J74">
    <cfRule type="expression" dxfId="4159" priority="25">
      <formula>$F$10="EURO"</formula>
    </cfRule>
  </conditionalFormatting>
  <conditionalFormatting sqref="J13:K54">
    <cfRule type="cellIs" dxfId="4158" priority="10" operator="greaterThan">
      <formula>0</formula>
    </cfRule>
  </conditionalFormatting>
  <conditionalFormatting sqref="J57:K66">
    <cfRule type="cellIs" dxfId="4157" priority="20" operator="greaterThan">
      <formula>0</formula>
    </cfRule>
  </conditionalFormatting>
  <conditionalFormatting sqref="M12:P54">
    <cfRule type="expression" dxfId="4156" priority="9">
      <formula>$B$9="CZK"</formula>
    </cfRule>
    <cfRule type="expression" dxfId="4155" priority="8">
      <formula>$B$9="PLN"</formula>
    </cfRule>
    <cfRule type="expression" dxfId="4154" priority="7">
      <formula>$B$9="USD"</formula>
    </cfRule>
    <cfRule type="expression" dxfId="4153" priority="6">
      <formula>$B$9="EURO"</formula>
    </cfRule>
  </conditionalFormatting>
  <conditionalFormatting sqref="M13:P54">
    <cfRule type="cellIs" dxfId="4152" priority="5" operator="greaterThan">
      <formula>0</formula>
    </cfRule>
  </conditionalFormatting>
  <dataValidations count="3">
    <dataValidation type="list" allowBlank="1" showInputMessage="1" showErrorMessage="1" sqref="D26" xr:uid="{00000000-0002-0000-1200-000000000000}">
      <formula1>$H$17:$H$21</formula1>
    </dataValidation>
    <dataValidation type="list" allowBlank="1" showInputMessage="1" showErrorMessage="1" sqref="D55" xr:uid="{00000000-0002-0000-1200-000001000000}">
      <formula1>$B$3:$B$15</formula1>
    </dataValidation>
    <dataValidation type="list" allowBlank="1" showInputMessage="1" showErrorMessage="1" sqref="D13" xr:uid="{00000000-0002-0000-12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IF('[3]CANOPY (10)'!C3="","",'[3]CANOPY (10)'!C3)</f>
        <v>#REF!</v>
      </c>
      <c r="D3" s="979"/>
      <c r="E3" s="122" t="s">
        <v>4</v>
      </c>
      <c r="F3" s="987" t="e">
        <f>IF('[3]CANOPY (10)'!G3="","",'[3]CANOPY (10)'!G3)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IF('[3]CANOPY (10)'!C5="","",'[3]CANOPY (10)'!C5)</f>
        <v>#REF!</v>
      </c>
      <c r="D5" s="979"/>
      <c r="E5" s="122" t="s">
        <v>8</v>
      </c>
      <c r="F5" s="987" t="e">
        <f>IF('[3]CANOPY (10)'!G5="","",'[3]CANOPY (10)'!G5)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IF('[3]CANOPY (10)'!C7="","",'[3]CANOPY (10)'!C7)</f>
        <v>#REF!</v>
      </c>
      <c r="D7" s="979"/>
      <c r="E7" s="122" t="s">
        <v>12</v>
      </c>
      <c r="F7" s="989" t="e">
        <f>IF('[3]CANOPY (10)'!G7="","",'[3]CANOPY (10)'!G7)</f>
        <v>#REF!</v>
      </c>
      <c r="G7" s="979"/>
      <c r="H7" s="979"/>
      <c r="J7" s="197" t="s">
        <v>14</v>
      </c>
      <c r="K7" s="484" t="e">
        <f>IF('[3]CANOPY (10)'!O7="","",'[3]CANOPY (10)'!O7)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4151" priority="8" operator="containsText" text="SELECT">
      <formula>NOT(ISERROR(SEARCH("SELECT",B10)))</formula>
    </cfRule>
    <cfRule type="expression" dxfId="4150" priority="9">
      <formula>B10="CURRENCY"</formula>
    </cfRule>
  </conditionalFormatting>
  <conditionalFormatting sqref="B14:B41">
    <cfRule type="expression" dxfId="4149" priority="2">
      <formula>$C14&gt;0</formula>
    </cfRule>
  </conditionalFormatting>
  <conditionalFormatting sqref="B44:B55">
    <cfRule type="expression" dxfId="4148" priority="1">
      <formula>$C44&gt;0</formula>
    </cfRule>
  </conditionalFormatting>
  <conditionalFormatting sqref="C14:C41 C44:C55">
    <cfRule type="cellIs" dxfId="4147" priority="12" operator="equal">
      <formula>0</formula>
    </cfRule>
  </conditionalFormatting>
  <conditionalFormatting sqref="C10:D10">
    <cfRule type="cellIs" dxfId="4146" priority="6" operator="lessThan">
      <formula>0</formula>
    </cfRule>
    <cfRule type="cellIs" dxfId="4145" priority="7" operator="greaterThan">
      <formula>0</formula>
    </cfRule>
  </conditionalFormatting>
  <conditionalFormatting sqref="E12:E13">
    <cfRule type="cellIs" dxfId="4144" priority="10" operator="greaterThan">
      <formula>0</formula>
    </cfRule>
    <cfRule type="cellIs" dxfId="4143" priority="11" operator="lessThan">
      <formula>0</formula>
    </cfRule>
  </conditionalFormatting>
  <conditionalFormatting sqref="F14:F41 F44:F55">
    <cfRule type="expression" dxfId="4142" priority="5">
      <formula>C14&gt;0</formula>
    </cfRule>
  </conditionalFormatting>
  <conditionalFormatting sqref="G14:G41 G44:G55">
    <cfRule type="cellIs" dxfId="4141" priority="4" operator="greaterThan">
      <formula>0</formula>
    </cfRule>
  </conditionalFormatting>
  <conditionalFormatting sqref="H14:H41 H44:H55">
    <cfRule type="expression" dxfId="4140" priority="17">
      <formula>$C$10&lt;0</formula>
    </cfRule>
    <cfRule type="expression" dxfId="4139" priority="18">
      <formula>$C$10&gt;0</formula>
    </cfRule>
  </conditionalFormatting>
  <conditionalFormatting sqref="J1:J6 J8:J11 J13:J1048576">
    <cfRule type="expression" dxfId="4138" priority="13">
      <formula>$B$10="EURO"</formula>
    </cfRule>
  </conditionalFormatting>
  <conditionalFormatting sqref="J10 J13:J41 J43:J55">
    <cfRule type="expression" dxfId="4137" priority="14">
      <formula>$B$10="PLN"</formula>
    </cfRule>
    <cfRule type="expression" dxfId="4136" priority="15">
      <formula>$B$10="CZK"</formula>
    </cfRule>
    <cfRule type="expression" dxfId="4135" priority="16">
      <formula>$B$10="USD"</formula>
    </cfRule>
  </conditionalFormatting>
  <conditionalFormatting sqref="J14:K41 J44:K56">
    <cfRule type="cellIs" dxfId="4134" priority="3" operator="greaterThan">
      <formula>0</formula>
    </cfRule>
  </conditionalFormatting>
  <dataValidations count="1">
    <dataValidation type="list" allowBlank="1" showInputMessage="1" showErrorMessage="1" sqref="F12:F13" xr:uid="{00000000-0002-0000-13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IF('[3]CANOPY (10)'!C3="","",'[3]CANOPY (10)'!C3)</f>
        <v>#REF!</v>
      </c>
      <c r="D3" s="990"/>
      <c r="E3" s="129"/>
      <c r="F3" s="132" t="s">
        <v>4</v>
      </c>
      <c r="G3" s="938" t="e">
        <f>IF('[3]CANOPY (10)'!G3="","",'[3]CANOPY (10)'!G3)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IF('[3]CANOPY (10)'!C5="","",'[3]CANOPY (10)'!C5)</f>
        <v>#REF!</v>
      </c>
      <c r="D5" s="990"/>
      <c r="E5" s="131"/>
      <c r="F5" s="132" t="s">
        <v>8</v>
      </c>
      <c r="G5" s="938" t="e">
        <f>IF('[3]CANOPY (10)'!G5="","",'[3]CANOPY (10)'!G5)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IF('[3]CANOPY (10)'!C7="","",'[3]CANOPY (10)'!C7)</f>
        <v>#REF!</v>
      </c>
      <c r="D7" s="990"/>
      <c r="E7" s="135"/>
      <c r="F7" s="136" t="s">
        <v>12</v>
      </c>
      <c r="G7" s="939" t="e">
        <f>IF('[3]CANOPY (10)'!G7="","",'[3]CANOPY (10)'!G7)</f>
        <v>#REF!</v>
      </c>
      <c r="H7" s="990"/>
      <c r="I7" s="51"/>
      <c r="J7" s="280"/>
      <c r="K7" s="280" t="s">
        <v>14</v>
      </c>
      <c r="L7" s="484" t="e">
        <f>IF('[3]CANOPY (10)'!O7="","",'[3]CANOPY (10)'!O7)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4133" priority="26">
      <formula>B9="CURRENCY"</formula>
    </cfRule>
    <cfRule type="containsText" dxfId="4132" priority="25" operator="containsText" text="SELECT">
      <formula>NOT(ISERROR(SEARCH("SELECT",B9)))</formula>
    </cfRule>
  </conditionalFormatting>
  <conditionalFormatting sqref="B15:B29">
    <cfRule type="expression" dxfId="4131" priority="9">
      <formula>$D15&gt;0</formula>
    </cfRule>
  </conditionalFormatting>
  <conditionalFormatting sqref="B49 E49:F49">
    <cfRule type="expression" dxfId="4130" priority="49">
      <formula>C40="select controls"</formula>
    </cfRule>
  </conditionalFormatting>
  <conditionalFormatting sqref="C13">
    <cfRule type="containsText" dxfId="4129" priority="29" operator="containsText" text="SELECT">
      <formula>NOT(ISERROR(SEARCH("SELECT",C13)))</formula>
    </cfRule>
  </conditionalFormatting>
  <conditionalFormatting sqref="C15:C22">
    <cfRule type="containsText" dxfId="4128" priority="15" operator="containsText" text="SIZE">
      <formula>NOT(ISERROR(SEARCH("SIZE",C15)))</formula>
    </cfRule>
  </conditionalFormatting>
  <conditionalFormatting sqref="C25">
    <cfRule type="containsText" dxfId="4127" priority="37" operator="containsText" text="SELECT CONTROLS">
      <formula>NOT(ISERROR(SEARCH("SELECT CONTROLS",C25)))</formula>
    </cfRule>
  </conditionalFormatting>
  <conditionalFormatting sqref="C26">
    <cfRule type="expression" dxfId="4126" priority="32">
      <formula>$C$25="SMARTEC"</formula>
    </cfRule>
    <cfRule type="containsText" dxfId="4125" priority="31" operator="containsText" text="st/st">
      <formula>NOT(ISERROR(SEARCH("st/st",C26)))</formula>
    </cfRule>
  </conditionalFormatting>
  <conditionalFormatting sqref="C31:C32">
    <cfRule type="cellIs" dxfId="4124" priority="20" operator="greaterThan">
      <formula>0</formula>
    </cfRule>
  </conditionalFormatting>
  <conditionalFormatting sqref="C52:C61">
    <cfRule type="cellIs" dxfId="4123" priority="28" operator="lessThan">
      <formula>1</formula>
    </cfRule>
  </conditionalFormatting>
  <conditionalFormatting sqref="C9:D9">
    <cfRule type="cellIs" dxfId="4122" priority="23" operator="lessThan">
      <formula>0</formula>
    </cfRule>
    <cfRule type="cellIs" dxfId="4121" priority="24" operator="greaterThan">
      <formula>0</formula>
    </cfRule>
  </conditionalFormatting>
  <conditionalFormatting sqref="C29:D29">
    <cfRule type="expression" dxfId="4120" priority="36">
      <formula>$C$25="REMOTE TOUCH SCREEN"</formula>
    </cfRule>
    <cfRule type="expression" dxfId="4119" priority="35">
      <formula>$C$25="SMARTEC"</formula>
    </cfRule>
  </conditionalFormatting>
  <conditionalFormatting sqref="D26">
    <cfRule type="expression" dxfId="4118" priority="33">
      <formula>C25="SMARTEC"</formula>
    </cfRule>
    <cfRule type="expression" dxfId="4117" priority="30">
      <formula>C26="st/st enclosure"</formula>
    </cfRule>
  </conditionalFormatting>
  <conditionalFormatting sqref="D29">
    <cfRule type="expression" dxfId="4116" priority="34">
      <formula>$C$25="SMARTEC"</formula>
    </cfRule>
  </conditionalFormatting>
  <conditionalFormatting sqref="D38">
    <cfRule type="expression" dxfId="4115" priority="48">
      <formula>#REF!="SMARTEC"</formula>
    </cfRule>
    <cfRule type="expression" dxfId="4114" priority="47">
      <formula>C38="st/st enclosure"</formula>
    </cfRule>
  </conditionalFormatting>
  <conditionalFormatting sqref="E39:E43">
    <cfRule type="expression" dxfId="4113" priority="46">
      <formula>#REF!="select controls"</formula>
    </cfRule>
  </conditionalFormatting>
  <conditionalFormatting sqref="E44:F45 B45:B48 E46:E47 E48:F48">
    <cfRule type="expression" dxfId="4112" priority="27">
      <formula>C38="select controls"</formula>
    </cfRule>
  </conditionalFormatting>
  <conditionalFormatting sqref="F40">
    <cfRule type="expression" dxfId="4111" priority="1">
      <formula>G34="select controls"</formula>
    </cfRule>
  </conditionalFormatting>
  <conditionalFormatting sqref="G15:G36">
    <cfRule type="cellIs" dxfId="4110" priority="2" operator="greaterThan">
      <formula>0</formula>
    </cfRule>
  </conditionalFormatting>
  <conditionalFormatting sqref="G38:G49">
    <cfRule type="cellIs" dxfId="4109" priority="18" operator="greaterThan">
      <formula>0</formula>
    </cfRule>
  </conditionalFormatting>
  <conditionalFormatting sqref="G52:G61">
    <cfRule type="expression" dxfId="4108" priority="8">
      <formula>C52&gt;0</formula>
    </cfRule>
  </conditionalFormatting>
  <conditionalFormatting sqref="H13 J13 L13">
    <cfRule type="expression" dxfId="4107" priority="38">
      <formula>$B$9="EURO"</formula>
    </cfRule>
  </conditionalFormatting>
  <conditionalFormatting sqref="H15:H61">
    <cfRule type="cellIs" dxfId="4106" priority="19" operator="greaterThan">
      <formula>0</formula>
    </cfRule>
  </conditionalFormatting>
  <conditionalFormatting sqref="I15:I36 I38:I49 I52:I61">
    <cfRule type="expression" dxfId="4105" priority="44">
      <formula>$C$9&lt;0</formula>
    </cfRule>
    <cfRule type="expression" dxfId="4104" priority="43">
      <formula>$C$9&gt;0</formula>
    </cfRule>
  </conditionalFormatting>
  <conditionalFormatting sqref="J37">
    <cfRule type="expression" dxfId="4103" priority="42">
      <formula>$B$9="EURO"</formula>
    </cfRule>
    <cfRule type="expression" dxfId="4102" priority="41">
      <formula>$B$9="USD"</formula>
    </cfRule>
    <cfRule type="expression" dxfId="4101" priority="40">
      <formula>$B$9="CZK"</formula>
    </cfRule>
    <cfRule type="expression" dxfId="4100" priority="39">
      <formula>$B$9="PLN"</formula>
    </cfRule>
  </conditionalFormatting>
  <conditionalFormatting sqref="J63:J69">
    <cfRule type="expression" dxfId="4099" priority="45">
      <formula>#REF!="EURO"</formula>
    </cfRule>
  </conditionalFormatting>
  <conditionalFormatting sqref="K1:K36">
    <cfRule type="expression" dxfId="4098" priority="5">
      <formula>$B$9="USD"</formula>
    </cfRule>
    <cfRule type="expression" dxfId="4097" priority="4">
      <formula>$B$9="EURO"</formula>
    </cfRule>
    <cfRule type="expression" dxfId="4096" priority="6">
      <formula>$B$9="PLN"</formula>
    </cfRule>
  </conditionalFormatting>
  <conditionalFormatting sqref="K1:K1048576">
    <cfRule type="expression" dxfId="4095" priority="7">
      <formula>$B$9="CZK"</formula>
    </cfRule>
  </conditionalFormatting>
  <conditionalFormatting sqref="K15:K36">
    <cfRule type="cellIs" dxfId="4094" priority="3" operator="greaterThan">
      <formula>0</formula>
    </cfRule>
  </conditionalFormatting>
  <conditionalFormatting sqref="K38:K49">
    <cfRule type="cellIs" dxfId="4093" priority="14" operator="greaterThan">
      <formula>0</formula>
    </cfRule>
  </conditionalFormatting>
  <conditionalFormatting sqref="K38:K1048576">
    <cfRule type="expression" dxfId="4092" priority="11">
      <formula>$B$9="EURO"</formula>
    </cfRule>
    <cfRule type="expression" dxfId="4091" priority="12">
      <formula>$B$9="USD"</formula>
    </cfRule>
    <cfRule type="expression" dxfId="4090" priority="13">
      <formula>$B$9="PLN"</formula>
    </cfRule>
  </conditionalFormatting>
  <conditionalFormatting sqref="K50">
    <cfRule type="cellIs" dxfId="4089" priority="22" operator="greaterThan">
      <formula>0</formula>
    </cfRule>
  </conditionalFormatting>
  <conditionalFormatting sqref="K52:K61">
    <cfRule type="cellIs" dxfId="4088" priority="10" operator="greaterThan">
      <formula>0</formula>
    </cfRule>
  </conditionalFormatting>
  <conditionalFormatting sqref="L15:L36 L52:L61">
    <cfRule type="cellIs" dxfId="4087" priority="21" operator="greaterThan">
      <formula>0</formula>
    </cfRule>
  </conditionalFormatting>
  <conditionalFormatting sqref="L38:L49">
    <cfRule type="cellIs" dxfId="4086" priority="17" operator="greaterThan">
      <formula>0</formula>
    </cfRule>
  </conditionalFormatting>
  <conditionalFormatting sqref="U40">
    <cfRule type="cellIs" dxfId="4085" priority="16" operator="greaterThan">
      <formula>0</formula>
    </cfRule>
  </conditionalFormatting>
  <dataValidations count="3">
    <dataValidation type="list" allowBlank="1" showInputMessage="1" showErrorMessage="1" sqref="C25" xr:uid="{00000000-0002-0000-1400-000000000000}">
      <formula1>"SELECT CONTROLS,SMARTEC, REMOTE TOUCH SCREEN"</formula1>
    </dataValidation>
    <dataValidation type="list" allowBlank="1" showInputMessage="1" showErrorMessage="1" sqref="C13" xr:uid="{00000000-0002-0000-14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4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IF('[3]CANOPY (10)'!C3="","",'[3]CANOPY (10)'!C3)</f>
        <v>#REF!</v>
      </c>
      <c r="D3" s="990"/>
      <c r="E3" s="129"/>
      <c r="F3" s="132" t="s">
        <v>4</v>
      </c>
      <c r="G3" s="938" t="e">
        <f>IF('[3]CANOPY (10)'!G3="","",'[3]CANOPY (10)'!G3)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IF('[3]CANOPY (10)'!C5="","",'[3]CANOPY (10)'!C5)</f>
        <v>#REF!</v>
      </c>
      <c r="D5" s="990"/>
      <c r="E5" s="131"/>
      <c r="F5" s="132" t="s">
        <v>8</v>
      </c>
      <c r="G5" s="938" t="e">
        <f>IF('[3]CANOPY (10)'!G5="","",'[3]CANOPY (10)'!G5)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IF('[3]CANOPY (10)'!C7="","",'[3]CANOPY (10)'!C7)</f>
        <v>#REF!</v>
      </c>
      <c r="D7" s="990"/>
      <c r="E7" s="135"/>
      <c r="F7" s="136" t="s">
        <v>12</v>
      </c>
      <c r="G7" s="939" t="e">
        <f>IF('[3]CANOPY (10)'!G7="","",'[3]CANOPY (10)'!G7)</f>
        <v>#REF!</v>
      </c>
      <c r="H7" s="990"/>
      <c r="I7" s="51"/>
      <c r="J7" s="280"/>
      <c r="K7" s="280" t="s">
        <v>14</v>
      </c>
      <c r="L7" s="484" t="e">
        <f>IF('[3]CANOPY (10)'!O7="","",'[3]CANOPY (10)'!O7)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4084" priority="30">
      <formula>B9="CURRENCY"</formula>
    </cfRule>
    <cfRule type="containsText" dxfId="4083" priority="29" operator="containsText" text="SELECT">
      <formula>NOT(ISERROR(SEARCH("SELECT",B9)))</formula>
    </cfRule>
  </conditionalFormatting>
  <conditionalFormatting sqref="B15:B30">
    <cfRule type="expression" dxfId="4082" priority="2">
      <formula>$D15&gt;0</formula>
    </cfRule>
  </conditionalFormatting>
  <conditionalFormatting sqref="B50 E50:F50">
    <cfRule type="expression" dxfId="4081" priority="53">
      <formula>C41="select controls"</formula>
    </cfRule>
  </conditionalFormatting>
  <conditionalFormatting sqref="C13">
    <cfRule type="containsText" dxfId="4080" priority="33" operator="containsText" text="SELECT">
      <formula>NOT(ISERROR(SEARCH("SELECT",C13)))</formula>
    </cfRule>
  </conditionalFormatting>
  <conditionalFormatting sqref="C15:C23">
    <cfRule type="containsText" dxfId="4079" priority="8" operator="containsText" text="SIZE">
      <formula>NOT(ISERROR(SEARCH("SIZE",C15)))</formula>
    </cfRule>
  </conditionalFormatting>
  <conditionalFormatting sqref="C26">
    <cfRule type="containsText" dxfId="4078" priority="41" operator="containsText" text="SELECT CONTROLS">
      <formula>NOT(ISERROR(SEARCH("SELECT CONTROLS",C26)))</formula>
    </cfRule>
  </conditionalFormatting>
  <conditionalFormatting sqref="C27">
    <cfRule type="expression" dxfId="4077" priority="36">
      <formula>$C$26="SMARTEC"</formula>
    </cfRule>
    <cfRule type="containsText" dxfId="4076" priority="35" operator="containsText" text="st/st">
      <formula>NOT(ISERROR(SEARCH("st/st",C27)))</formula>
    </cfRule>
  </conditionalFormatting>
  <conditionalFormatting sqref="C32:C33">
    <cfRule type="cellIs" dxfId="4075" priority="24" operator="greaterThan">
      <formula>0</formula>
    </cfRule>
  </conditionalFormatting>
  <conditionalFormatting sqref="C53:C62">
    <cfRule type="cellIs" dxfId="4074" priority="32" operator="lessThan">
      <formula>1</formula>
    </cfRule>
  </conditionalFormatting>
  <conditionalFormatting sqref="C9:D9">
    <cfRule type="cellIs" dxfId="4073" priority="27" operator="lessThan">
      <formula>0</formula>
    </cfRule>
    <cfRule type="cellIs" dxfId="4072" priority="28" operator="greaterThan">
      <formula>0</formula>
    </cfRule>
  </conditionalFormatting>
  <conditionalFormatting sqref="C30:D30">
    <cfRule type="expression" dxfId="4071" priority="40">
      <formula>$C$26="REMOTE TOUCH SCREEN"</formula>
    </cfRule>
    <cfRule type="expression" dxfId="4070" priority="39">
      <formula>$C$26="SMARTEC"</formula>
    </cfRule>
  </conditionalFormatting>
  <conditionalFormatting sqref="D27">
    <cfRule type="expression" dxfId="4069" priority="37">
      <formula>C26="SMARTEC"</formula>
    </cfRule>
    <cfRule type="expression" dxfId="4068" priority="34">
      <formula>C27="st/st enclosure"</formula>
    </cfRule>
  </conditionalFormatting>
  <conditionalFormatting sqref="D30">
    <cfRule type="expression" dxfId="4067" priority="38">
      <formula>$C$26="SMARTEC"</formula>
    </cfRule>
  </conditionalFormatting>
  <conditionalFormatting sqref="D39">
    <cfRule type="expression" dxfId="4066" priority="52">
      <formula>#REF!="SMARTEC"</formula>
    </cfRule>
    <cfRule type="expression" dxfId="4065" priority="51">
      <formula>C39="st/st enclosure"</formula>
    </cfRule>
  </conditionalFormatting>
  <conditionalFormatting sqref="E40:E44">
    <cfRule type="expression" dxfId="4064" priority="50">
      <formula>#REF!="select controls"</formula>
    </cfRule>
  </conditionalFormatting>
  <conditionalFormatting sqref="E45 E46:F46 B46:B47 E47:E48 B49 E49:F49">
    <cfRule type="expression" dxfId="4063" priority="31">
      <formula>C39="select controls"</formula>
    </cfRule>
  </conditionalFormatting>
  <conditionalFormatting sqref="F41:F45">
    <cfRule type="expression" dxfId="4062" priority="1">
      <formula>G35="select controls"</formula>
    </cfRule>
  </conditionalFormatting>
  <conditionalFormatting sqref="G15:G37">
    <cfRule type="cellIs" dxfId="4061" priority="9" operator="greaterThan">
      <formula>0</formula>
    </cfRule>
  </conditionalFormatting>
  <conditionalFormatting sqref="G39:G50">
    <cfRule type="cellIs" dxfId="4060" priority="14" operator="greaterThan">
      <formula>0</formula>
    </cfRule>
  </conditionalFormatting>
  <conditionalFormatting sqref="G53:G62">
    <cfRule type="expression" dxfId="4059" priority="15">
      <formula>C53&gt;0</formula>
    </cfRule>
  </conditionalFormatting>
  <conditionalFormatting sqref="H13 J13 L13">
    <cfRule type="expression" dxfId="4058" priority="42">
      <formula>$B$9="EURO"</formula>
    </cfRule>
  </conditionalFormatting>
  <conditionalFormatting sqref="H23">
    <cfRule type="cellIs" dxfId="4057" priority="11" operator="greaterThan">
      <formula>0</formula>
    </cfRule>
  </conditionalFormatting>
  <conditionalFormatting sqref="H25:H62">
    <cfRule type="cellIs" dxfId="4056" priority="23" operator="greaterThan">
      <formula>0</formula>
    </cfRule>
  </conditionalFormatting>
  <conditionalFormatting sqref="H15:L22 L53:L62">
    <cfRule type="cellIs" dxfId="4055" priority="25" operator="greaterThan">
      <formula>0</formula>
    </cfRule>
  </conditionalFormatting>
  <conditionalFormatting sqref="I15:I37">
    <cfRule type="expression" dxfId="4054" priority="12">
      <formula>$C$9&gt;0</formula>
    </cfRule>
  </conditionalFormatting>
  <conditionalFormatting sqref="I23:I37">
    <cfRule type="expression" dxfId="4053" priority="13">
      <formula>$C$9&lt;0</formula>
    </cfRule>
  </conditionalFormatting>
  <conditionalFormatting sqref="I39:I50 I53:I62 I15:I22">
    <cfRule type="expression" dxfId="4052" priority="48">
      <formula>$C$9&lt;0</formula>
    </cfRule>
  </conditionalFormatting>
  <conditionalFormatting sqref="I39:I50 I53:I62">
    <cfRule type="expression" dxfId="4051" priority="47">
      <formula>$C$9&gt;0</formula>
    </cfRule>
  </conditionalFormatting>
  <conditionalFormatting sqref="J38">
    <cfRule type="expression" dxfId="4050" priority="43">
      <formula>$B$9="PLN"</formula>
    </cfRule>
    <cfRule type="expression" dxfId="4049" priority="44">
      <formula>$B$9="CZK"</formula>
    </cfRule>
    <cfRule type="expression" dxfId="4048" priority="45">
      <formula>$B$9="USD"</formula>
    </cfRule>
    <cfRule type="expression" dxfId="4047" priority="46">
      <formula>$B$9="EURO"</formula>
    </cfRule>
  </conditionalFormatting>
  <conditionalFormatting sqref="J64:J70">
    <cfRule type="expression" dxfId="4046" priority="49">
      <formula>#REF!="EURO"</formula>
    </cfRule>
  </conditionalFormatting>
  <conditionalFormatting sqref="K1:K37">
    <cfRule type="expression" dxfId="4045" priority="5">
      <formula>$B$9="USD"</formula>
    </cfRule>
    <cfRule type="expression" dxfId="4044" priority="4">
      <formula>$B$9="EURO"</formula>
    </cfRule>
    <cfRule type="expression" dxfId="4043" priority="6">
      <formula>$B$9="PLN"</formula>
    </cfRule>
  </conditionalFormatting>
  <conditionalFormatting sqref="K1:K1048576">
    <cfRule type="expression" dxfId="4042" priority="7">
      <formula>$B$9="CZK"</formula>
    </cfRule>
  </conditionalFormatting>
  <conditionalFormatting sqref="K15:K37">
    <cfRule type="cellIs" dxfId="4041" priority="3" operator="greaterThan">
      <formula>0</formula>
    </cfRule>
  </conditionalFormatting>
  <conditionalFormatting sqref="K39:K50">
    <cfRule type="cellIs" dxfId="4040" priority="20" operator="greaterThan">
      <formula>0</formula>
    </cfRule>
  </conditionalFormatting>
  <conditionalFormatting sqref="K39:K1048576">
    <cfRule type="expression" dxfId="4039" priority="19">
      <formula>$B$9="PLN"</formula>
    </cfRule>
    <cfRule type="expression" dxfId="4038" priority="18">
      <formula>$B$9="USD"</formula>
    </cfRule>
    <cfRule type="expression" dxfId="4037" priority="17">
      <formula>$B$9="EURO"</formula>
    </cfRule>
  </conditionalFormatting>
  <conditionalFormatting sqref="K51">
    <cfRule type="cellIs" dxfId="4036" priority="26" operator="greaterThan">
      <formula>0</formula>
    </cfRule>
  </conditionalFormatting>
  <conditionalFormatting sqref="K53:K62">
    <cfRule type="cellIs" dxfId="4035" priority="16" operator="greaterThan">
      <formula>0</formula>
    </cfRule>
  </conditionalFormatting>
  <conditionalFormatting sqref="L23:L37">
    <cfRule type="cellIs" dxfId="4034" priority="10" operator="greaterThan">
      <formula>0</formula>
    </cfRule>
  </conditionalFormatting>
  <conditionalFormatting sqref="L39:L50">
    <cfRule type="cellIs" dxfId="4033" priority="22" operator="greaterThan">
      <formula>0</formula>
    </cfRule>
  </conditionalFormatting>
  <conditionalFormatting sqref="T41">
    <cfRule type="cellIs" dxfId="4032"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500-000000000000}">
      <formula1>#REF!</formula1>
    </dataValidation>
    <dataValidation type="list" allowBlank="1" showInputMessage="1" showErrorMessage="1" sqref="C13" xr:uid="{00000000-0002-0000-1500-000001000000}">
      <formula1>"SELECT MODEL,INTERNAL,EXTERNAL"</formula1>
    </dataValidation>
    <dataValidation type="list" allowBlank="1" showInputMessage="1" showErrorMessage="1" sqref="C26" xr:uid="{00000000-0002-0000-15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IF('[3]CANOPY (10)'!C3="","",'[3]CANOPY (10)'!C3)</f>
        <v>#REF!</v>
      </c>
      <c r="E3" s="934"/>
      <c r="G3" s="71" t="s">
        <v>4</v>
      </c>
      <c r="H3" s="935" t="e">
        <f>IF('[3]CANOPY (10)'!G3="","",'[3]CANOPY (10)'!G3)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IF('[3]CANOPY (10)'!C5="","",'[3]CANOPY (10)'!C5)</f>
        <v>#REF!</v>
      </c>
      <c r="E5" s="934"/>
      <c r="G5" s="71" t="s">
        <v>8</v>
      </c>
      <c r="H5" s="935" t="e">
        <f>IF('[3]CANOPY (10)'!G5="","",'[3]CANOPY (10)'!G5)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IF('[3]CANOPY (10)'!C7="","",'[3]CANOPY (10)'!C7)</f>
        <v>#REF!</v>
      </c>
      <c r="E7" s="934"/>
      <c r="G7" s="71" t="s">
        <v>12</v>
      </c>
      <c r="H7" s="939" t="e">
        <f>IF('[3]CANOPY (10)'!G7="","",'[3]CANOPY (10)'!G7)</f>
        <v>#REF!</v>
      </c>
      <c r="I7" s="936"/>
      <c r="J7" s="937"/>
      <c r="N7" s="266" t="s">
        <v>14</v>
      </c>
      <c r="O7" s="787" t="e">
        <f>IF('[3]CANOPY (10)'!O7="","",'[3]CANOPY (10)'!O7)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4031" priority="26">
      <formula>C9="CURRENCY"</formula>
    </cfRule>
    <cfRule type="containsText" dxfId="4030" priority="25" operator="containsText" text="SELECT">
      <formula>NOT(ISERROR(SEARCH("SELECT",C9)))</formula>
    </cfRule>
  </conditionalFormatting>
  <conditionalFormatting sqref="C14:C23">
    <cfRule type="expression" dxfId="4029" priority="1">
      <formula>$J14&gt;0</formula>
    </cfRule>
  </conditionalFormatting>
  <conditionalFormatting sqref="C27:C37">
    <cfRule type="expression" dxfId="4028" priority="10">
      <formula>$D27&gt;0</formula>
    </cfRule>
  </conditionalFormatting>
  <conditionalFormatting sqref="D27:D28 D30:D37">
    <cfRule type="cellIs" dxfId="4027" priority="27" operator="lessThan">
      <formula>1</formula>
    </cfRule>
  </conditionalFormatting>
  <conditionalFormatting sqref="D29">
    <cfRule type="cellIs" dxfId="4026" priority="22" operator="lessThan">
      <formula>1</formula>
    </cfRule>
  </conditionalFormatting>
  <conditionalFormatting sqref="D9:E9">
    <cfRule type="cellIs" dxfId="4025" priority="23" operator="lessThan">
      <formula>0</formula>
    </cfRule>
    <cfRule type="cellIs" dxfId="4024" priority="24" operator="greaterThan">
      <formula>0</formula>
    </cfRule>
  </conditionalFormatting>
  <conditionalFormatting sqref="F12">
    <cfRule type="cellIs" dxfId="4023" priority="37" operator="greaterThan">
      <formula>2000</formula>
    </cfRule>
    <cfRule type="expression" dxfId="4022" priority="36">
      <formula>ISNUMBER(SEARCH("I-MUAP",#REF!))</formula>
    </cfRule>
    <cfRule type="expression" dxfId="4021" priority="35">
      <formula>AND((ISNUMBER(SEARCH("I-MUAP",#REF!))),F12&lt;2500)</formula>
    </cfRule>
  </conditionalFormatting>
  <conditionalFormatting sqref="F12:G12">
    <cfRule type="cellIs" dxfId="4020" priority="28" operator="lessThan">
      <formula>1000</formula>
    </cfRule>
  </conditionalFormatting>
  <conditionalFormatting sqref="F14:G19">
    <cfRule type="cellIs" dxfId="4019" priority="3" operator="lessThan">
      <formula>1000</formula>
    </cfRule>
  </conditionalFormatting>
  <conditionalFormatting sqref="G12">
    <cfRule type="cellIs" dxfId="4018" priority="29" operator="greaterThan">
      <formula>3001</formula>
    </cfRule>
  </conditionalFormatting>
  <conditionalFormatting sqref="H11">
    <cfRule type="expression" dxfId="4017" priority="38">
      <formula>((#REF!-50)/#REF!)&lt;950</formula>
    </cfRule>
  </conditionalFormatting>
  <conditionalFormatting sqref="H12">
    <cfRule type="expression" dxfId="4016" priority="39">
      <formula>((#REF!-50)/#REF!)&lt;950</formula>
    </cfRule>
  </conditionalFormatting>
  <conditionalFormatting sqref="H14:H19">
    <cfRule type="cellIs" dxfId="4015" priority="4" operator="lessThan">
      <formula>400</formula>
    </cfRule>
  </conditionalFormatting>
  <conditionalFormatting sqref="H24">
    <cfRule type="expression" dxfId="4014" priority="34">
      <formula>((#REF!-50)/#REF!)&lt;950</formula>
    </cfRule>
  </conditionalFormatting>
  <conditionalFormatting sqref="J14:J21">
    <cfRule type="cellIs" dxfId="4013" priority="15" operator="greaterThan">
      <formula>0</formula>
    </cfRule>
  </conditionalFormatting>
  <conditionalFormatting sqref="J27:J37">
    <cfRule type="expression" dxfId="4012" priority="16">
      <formula>D27&gt;0</formula>
    </cfRule>
  </conditionalFormatting>
  <conditionalFormatting sqref="J39:J45">
    <cfRule type="expression" dxfId="4011" priority="44">
      <formula>#REF!="EURO"</formula>
    </cfRule>
  </conditionalFormatting>
  <conditionalFormatting sqref="K14:K23 N14:O23">
    <cfRule type="cellIs" dxfId="4010" priority="2" operator="greaterThan">
      <formula>0</formula>
    </cfRule>
  </conditionalFormatting>
  <conditionalFormatting sqref="K27:K37">
    <cfRule type="cellIs" dxfId="4009" priority="21" operator="greaterThan">
      <formula>0</formula>
    </cfRule>
  </conditionalFormatting>
  <conditionalFormatting sqref="K39:K45">
    <cfRule type="expression" dxfId="4008" priority="40">
      <formula>$C$9="PLN"</formula>
    </cfRule>
    <cfRule type="expression" dxfId="4007" priority="41">
      <formula>$C$9="CZK"</formula>
    </cfRule>
    <cfRule type="expression" dxfId="4006" priority="42">
      <formula>$C$9="USD"</formula>
    </cfRule>
    <cfRule type="expression" dxfId="4005" priority="43">
      <formula>$C$9="EURO"</formula>
    </cfRule>
  </conditionalFormatting>
  <conditionalFormatting sqref="L14:L23">
    <cfRule type="expression" dxfId="4004" priority="14">
      <formula>$D$9&gt;0</formula>
    </cfRule>
    <cfRule type="expression" dxfId="4003" priority="13">
      <formula>$D$9&lt;0</formula>
    </cfRule>
  </conditionalFormatting>
  <conditionalFormatting sqref="L27:L37">
    <cfRule type="expression" dxfId="4002" priority="12">
      <formula>$D$9&gt;0</formula>
    </cfRule>
    <cfRule type="expression" dxfId="4001" priority="11">
      <formula>$D$9&lt;0</formula>
    </cfRule>
  </conditionalFormatting>
  <conditionalFormatting sqref="N9 N12">
    <cfRule type="expression" dxfId="4000" priority="30">
      <formula>$C$9="PLN"</formula>
    </cfRule>
    <cfRule type="expression" dxfId="3999" priority="31">
      <formula>$C$9="CZK"</formula>
    </cfRule>
    <cfRule type="expression" dxfId="3998" priority="32">
      <formula>$C$9="USD"</formula>
    </cfRule>
    <cfRule type="expression" dxfId="3997" priority="33">
      <formula>$C$9="EURO"</formula>
    </cfRule>
  </conditionalFormatting>
  <conditionalFormatting sqref="N14:N23">
    <cfRule type="expression" dxfId="3996" priority="20">
      <formula>$C$9="EURO"</formula>
    </cfRule>
    <cfRule type="expression" dxfId="3995" priority="19">
      <formula>$C$9="USD"</formula>
    </cfRule>
    <cfRule type="expression" dxfId="3994" priority="18">
      <formula>$C$9="CZK"</formula>
    </cfRule>
    <cfRule type="expression" dxfId="3993" priority="17">
      <formula>$C$9="PLN"</formula>
    </cfRule>
  </conditionalFormatting>
  <conditionalFormatting sqref="N26:N37">
    <cfRule type="expression" dxfId="3992" priority="6">
      <formula>$C$9="PLN"</formula>
    </cfRule>
    <cfRule type="expression" dxfId="3991" priority="7">
      <formula>$C$9="CZK"</formula>
    </cfRule>
    <cfRule type="expression" dxfId="3990" priority="9">
      <formula>$C$9="EURO"</formula>
    </cfRule>
    <cfRule type="expression" dxfId="3989" priority="8">
      <formula>$C$9="USD"</formula>
    </cfRule>
  </conditionalFormatting>
  <conditionalFormatting sqref="N27:O37">
    <cfRule type="cellIs" dxfId="3988" priority="5" operator="greaterThan">
      <formula>0</formula>
    </cfRule>
  </conditionalFormatting>
  <dataValidations count="3">
    <dataValidation type="list" allowBlank="1" showInputMessage="1" showErrorMessage="1" sqref="H25" xr:uid="{00000000-0002-0000-1600-000000000000}">
      <formula1>#REF!</formula1>
    </dataValidation>
    <dataValidation type="list" allowBlank="1" showInputMessage="1" showErrorMessage="1" sqref="E14:E23" xr:uid="{00000000-0002-0000-1600-000001000000}">
      <formula1>"0,1,2,3,4,5,6,7,8,9,10,11,12,13,14,15,16,17,18,19,20"</formula1>
    </dataValidation>
    <dataValidation operator="greaterThan" allowBlank="1" showInputMessage="1" showErrorMessage="1" sqref="F14:F19" xr:uid="{00000000-0002-0000-16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IF('[3]CANOPY (10)'!C3="","",'[3]CANOPY (10)'!C3)</f>
        <v>#REF!</v>
      </c>
      <c r="E3" s="934"/>
      <c r="G3" s="71" t="s">
        <v>4</v>
      </c>
      <c r="H3" s="935" t="e">
        <f>IF('[3]CANOPY (10)'!G3="","",'[3]CANOPY (10)'!G3)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IF('[3]CANOPY (10)'!C5="","",'[3]CANOPY (10)'!C5)</f>
        <v>#REF!</v>
      </c>
      <c r="E5" s="934"/>
      <c r="G5" s="71" t="s">
        <v>8</v>
      </c>
      <c r="H5" s="935" t="e">
        <f>IF('[3]CANOPY (10)'!G5="","",'[3]CANOPY (10)'!G5)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IF('[3]CANOPY (10)'!C7="","",'[3]CANOPY (10)'!C7)</f>
        <v>#REF!</v>
      </c>
      <c r="E7" s="934"/>
      <c r="G7" s="71" t="s">
        <v>12</v>
      </c>
      <c r="H7" s="939" t="e">
        <f>IF('[3]CANOPY (10)'!G7="","",'[3]CANOPY (10)'!G7)</f>
        <v>#REF!</v>
      </c>
      <c r="I7" s="936"/>
      <c r="J7" s="937"/>
      <c r="N7" s="266" t="s">
        <v>14</v>
      </c>
      <c r="O7" s="787" t="e">
        <f>IF('[3]CANOPY (10)'!O7="","",'[3]CANOPY (10)'!O7)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987" priority="34">
      <formula>C9="CURRENCY"</formula>
    </cfRule>
    <cfRule type="containsText" dxfId="3986" priority="33" operator="containsText" text="SELECT">
      <formula>NOT(ISERROR(SEARCH("SELECT",C9)))</formula>
    </cfRule>
  </conditionalFormatting>
  <conditionalFormatting sqref="C14:C32">
    <cfRule type="expression" dxfId="3985" priority="10">
      <formula>$J14&gt;0</formula>
    </cfRule>
  </conditionalFormatting>
  <conditionalFormatting sqref="C36:C46">
    <cfRule type="expression" dxfId="3984" priority="9">
      <formula>$D36&gt;0</formula>
    </cfRule>
  </conditionalFormatting>
  <conditionalFormatting sqref="D36:D37 D39:D46">
    <cfRule type="cellIs" dxfId="3983" priority="35" operator="lessThan">
      <formula>1</formula>
    </cfRule>
  </conditionalFormatting>
  <conditionalFormatting sqref="D38">
    <cfRule type="cellIs" dxfId="3982" priority="30" operator="lessThan">
      <formula>1</formula>
    </cfRule>
  </conditionalFormatting>
  <conditionalFormatting sqref="D9:E9">
    <cfRule type="cellIs" dxfId="3981" priority="32" operator="greaterThan">
      <formula>0</formula>
    </cfRule>
    <cfRule type="cellIs" dxfId="3980" priority="31" operator="lessThan">
      <formula>0</formula>
    </cfRule>
  </conditionalFormatting>
  <conditionalFormatting sqref="F12">
    <cfRule type="cellIs" dxfId="3979" priority="42" operator="greaterThan">
      <formula>2000</formula>
    </cfRule>
    <cfRule type="expression" dxfId="3978" priority="41">
      <formula>ISNUMBER(SEARCH("I-MUAP",$E$14))</formula>
    </cfRule>
    <cfRule type="expression" dxfId="3977" priority="40">
      <formula>AND((ISNUMBER(SEARCH("I-MUAP",$E$14))),F12&lt;2500)</formula>
    </cfRule>
  </conditionalFormatting>
  <conditionalFormatting sqref="F12:G12">
    <cfRule type="cellIs" dxfId="3976" priority="36" operator="lessThan">
      <formula>1000</formula>
    </cfRule>
  </conditionalFormatting>
  <conditionalFormatting sqref="F14:G26">
    <cfRule type="cellIs" dxfId="3975" priority="2" operator="lessThan">
      <formula>1000</formula>
    </cfRule>
  </conditionalFormatting>
  <conditionalFormatting sqref="G12">
    <cfRule type="cellIs" dxfId="3974" priority="37" operator="greaterThan">
      <formula>3001</formula>
    </cfRule>
  </conditionalFormatting>
  <conditionalFormatting sqref="H11">
    <cfRule type="expression" dxfId="3973" priority="39">
      <formula>((G14-50)/I14)&lt;950</formula>
    </cfRule>
  </conditionalFormatting>
  <conditionalFormatting sqref="H12">
    <cfRule type="expression" dxfId="3972" priority="38">
      <formula>((G14-50)/I14)&lt;950</formula>
    </cfRule>
  </conditionalFormatting>
  <conditionalFormatting sqref="H14:H26">
    <cfRule type="cellIs" dxfId="3971" priority="3" operator="lessThan">
      <formula>400</formula>
    </cfRule>
  </conditionalFormatting>
  <conditionalFormatting sqref="H33">
    <cfRule type="expression" dxfId="3970" priority="47">
      <formula>((#REF!-50)/#REF!)&lt;950</formula>
    </cfRule>
  </conditionalFormatting>
  <conditionalFormatting sqref="J14:J30">
    <cfRule type="cellIs" dxfId="3969" priority="15" operator="greaterThan">
      <formula>0</formula>
    </cfRule>
  </conditionalFormatting>
  <conditionalFormatting sqref="J36:J46">
    <cfRule type="expression" dxfId="3968" priority="23">
      <formula>D36&gt;0</formula>
    </cfRule>
  </conditionalFormatting>
  <conditionalFormatting sqref="J48:J54">
    <cfRule type="expression" dxfId="3967" priority="28">
      <formula>#REF!="EURO"</formula>
    </cfRule>
  </conditionalFormatting>
  <conditionalFormatting sqref="K14:K32">
    <cfRule type="cellIs" dxfId="3966" priority="1" operator="greaterThan">
      <formula>0</formula>
    </cfRule>
  </conditionalFormatting>
  <conditionalFormatting sqref="K36:K46">
    <cfRule type="cellIs" dxfId="3965" priority="29" operator="greaterThan">
      <formula>0</formula>
    </cfRule>
  </conditionalFormatting>
  <conditionalFormatting sqref="K48:K54">
    <cfRule type="expression" dxfId="3964" priority="24">
      <formula>$C$9="PLN"</formula>
    </cfRule>
    <cfRule type="expression" dxfId="3963" priority="25">
      <formula>$C$9="CZK"</formula>
    </cfRule>
    <cfRule type="expression" dxfId="3962" priority="26">
      <formula>$C$9="USD"</formula>
    </cfRule>
    <cfRule type="expression" dxfId="3961" priority="27">
      <formula>$C$9="EURO"</formula>
    </cfRule>
  </conditionalFormatting>
  <conditionalFormatting sqref="L14:L32">
    <cfRule type="expression" dxfId="3960" priority="13">
      <formula>$D$9&lt;0</formula>
    </cfRule>
    <cfRule type="expression" dxfId="3959" priority="14">
      <formula>$D$9&gt;0</formula>
    </cfRule>
  </conditionalFormatting>
  <conditionalFormatting sqref="L36:L46">
    <cfRule type="expression" dxfId="3958" priority="12">
      <formula>$D$9&gt;0</formula>
    </cfRule>
    <cfRule type="expression" dxfId="3957" priority="11">
      <formula>$D$9&lt;0</formula>
    </cfRule>
  </conditionalFormatting>
  <conditionalFormatting sqref="N9 N12">
    <cfRule type="expression" dxfId="3956" priority="43">
      <formula>$C$9="PLN"</formula>
    </cfRule>
    <cfRule type="expression" dxfId="3955" priority="44">
      <formula>$C$9="CZK"</formula>
    </cfRule>
    <cfRule type="expression" dxfId="3954" priority="45">
      <formula>$C$9="USD"</formula>
    </cfRule>
    <cfRule type="expression" dxfId="3953" priority="46">
      <formula>$C$9="EURO"</formula>
    </cfRule>
  </conditionalFormatting>
  <conditionalFormatting sqref="N14:N32">
    <cfRule type="expression" dxfId="3952" priority="20">
      <formula>$C$9="EURO"</formula>
    </cfRule>
    <cfRule type="expression" dxfId="3951" priority="19">
      <formula>$C$9="USD"</formula>
    </cfRule>
    <cfRule type="expression" dxfId="3950" priority="18">
      <formula>$C$9="CZK"</formula>
    </cfRule>
    <cfRule type="expression" dxfId="3949" priority="17">
      <formula>$C$9="PLN"</formula>
    </cfRule>
  </conditionalFormatting>
  <conditionalFormatting sqref="N18:N20">
    <cfRule type="cellIs" dxfId="3948" priority="21" operator="greaterThan">
      <formula>0</formula>
    </cfRule>
  </conditionalFormatting>
  <conditionalFormatting sqref="N35:N46">
    <cfRule type="expression" dxfId="3947" priority="8">
      <formula>$C$9="EURO"</formula>
    </cfRule>
    <cfRule type="expression" dxfId="3946" priority="7">
      <formula>$C$9="USD"</formula>
    </cfRule>
    <cfRule type="expression" dxfId="3945" priority="6">
      <formula>$C$9="CZK"</formula>
    </cfRule>
    <cfRule type="expression" dxfId="3944" priority="5">
      <formula>$C$9="PLN"</formula>
    </cfRule>
  </conditionalFormatting>
  <conditionalFormatting sqref="N14:O32">
    <cfRule type="cellIs" dxfId="3943" priority="16" operator="greaterThan">
      <formula>0</formula>
    </cfRule>
  </conditionalFormatting>
  <conditionalFormatting sqref="N36:O46">
    <cfRule type="cellIs" dxfId="3942" priority="4" operator="greaterThan">
      <formula>0</formula>
    </cfRule>
  </conditionalFormatting>
  <conditionalFormatting sqref="O14:O20">
    <cfRule type="cellIs" dxfId="3941" priority="22" operator="greaterThan">
      <formula>0</formula>
    </cfRule>
  </conditionalFormatting>
  <dataValidations count="3">
    <dataValidation type="list" allowBlank="1" showInputMessage="1" showErrorMessage="1" sqref="E14:E32" xr:uid="{00000000-0002-0000-1700-000000000000}">
      <formula1>"0,1,2,3,4,5,6,7,8,9,10,11,12,13,14,15,16,17,18,19,20"</formula1>
    </dataValidation>
    <dataValidation operator="greaterThan" allowBlank="1" showInputMessage="1" showErrorMessage="1" sqref="F14:F26" xr:uid="{00000000-0002-0000-1700-000001000000}"/>
    <dataValidation type="list" allowBlank="1" showInputMessage="1" showErrorMessage="1" sqref="H34" xr:uid="{00000000-0002-0000-17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IF('[4]CANOPY (11)'!G3="","",'[4]CANOPY (11)'!G3)</f>
        <v>#REF!</v>
      </c>
      <c r="I2" s="975"/>
      <c r="J2" s="975"/>
      <c r="K2" s="975"/>
      <c r="L2" s="976"/>
      <c r="M2" s="483" t="s">
        <v>368</v>
      </c>
      <c r="N2" s="974" t="e">
        <f>IF('[4]CANOPY (11)'!C3="","",'[4]CANOPY (11)'!C3)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IF('[4]CANOPY (11)'!G3="","",'[4]CANOPY (11)'!G3)</f>
        <v>#REF!</v>
      </c>
      <c r="I2" s="975"/>
      <c r="J2" s="975"/>
      <c r="K2" s="975"/>
      <c r="L2" s="976"/>
      <c r="M2" s="483" t="s">
        <v>368</v>
      </c>
      <c r="N2" s="974" t="e">
        <f>IF('[4]CANOPY (11)'!C3="","",'[4]CANOPY (11)'!C3)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IF('[4]CANOPY (11)'!G3="","",'[4]CANOPY (11)'!G3)</f>
        <v>#REF!</v>
      </c>
      <c r="I2" s="975"/>
      <c r="J2" s="975"/>
      <c r="K2" s="975"/>
      <c r="L2" s="976"/>
      <c r="M2" s="483" t="s">
        <v>368</v>
      </c>
      <c r="N2" s="974" t="e">
        <f>IF('[4]CANOPY (11)'!C3="","",'[4]CANOPY (11)'!C3)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IF('[4]CANOPY (11)'!C3="","",'[4]CANOPY (11)'!C3)</f>
        <v>#REF!</v>
      </c>
      <c r="D3" s="979"/>
      <c r="E3" s="103" t="s">
        <v>4</v>
      </c>
      <c r="F3" s="935" t="e">
        <f>IF('[4]CANOPY (11)'!G3="","",'[4]CANOPY (11)'!G3)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IF('[4]CANOPY (11)'!C5="","",'[4]CANOPY (11)'!C5)</f>
        <v>#REF!</v>
      </c>
      <c r="D5" s="979"/>
      <c r="E5" s="103" t="s">
        <v>8</v>
      </c>
      <c r="F5" s="935" t="e">
        <f>IF('[4]CANOPY (11)'!G5="","",'[4]CANOPY (11)'!G5)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IF('[4]CANOPY (11)'!C7="","",'[4]CANOPY (11)'!C7)</f>
        <v>#REF!</v>
      </c>
      <c r="D7" s="979"/>
      <c r="E7" s="103" t="s">
        <v>12</v>
      </c>
      <c r="F7" s="939" t="e">
        <f>IF('[4]CANOPY (11)'!G7="","",'[4]CANOPY (11)'!G7)</f>
        <v>#REF!</v>
      </c>
      <c r="G7" s="979"/>
      <c r="H7" s="245"/>
      <c r="J7" s="240" t="s">
        <v>14</v>
      </c>
      <c r="K7" s="787" t="e">
        <f>IF('[4]CANOPY (11)'!O7="","",'[4]CANOPY (11)'!O7)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3940" priority="24">
      <formula>B9="CURRENCY"</formula>
    </cfRule>
    <cfRule type="containsText" dxfId="3939" priority="23" operator="containsText" text="SELECT">
      <formula>NOT(ISERROR(SEARCH("SELECT",B9)))</formula>
    </cfRule>
  </conditionalFormatting>
  <conditionalFormatting sqref="B13:B24">
    <cfRule type="expression" dxfId="3938" priority="6">
      <formula>$C13&gt;0</formula>
    </cfRule>
  </conditionalFormatting>
  <conditionalFormatting sqref="B25:B39">
    <cfRule type="expression" dxfId="3937" priority="5">
      <formula>$C25&gt;0</formula>
    </cfRule>
  </conditionalFormatting>
  <conditionalFormatting sqref="B40:B42">
    <cfRule type="expression" dxfId="3936" priority="4">
      <formula>$C40&gt;0</formula>
    </cfRule>
  </conditionalFormatting>
  <conditionalFormatting sqref="B43:B50">
    <cfRule type="expression" dxfId="3935" priority="1">
      <formula>$C43&gt;0</formula>
    </cfRule>
  </conditionalFormatting>
  <conditionalFormatting sqref="B51:B54">
    <cfRule type="expression" dxfId="3934" priority="3">
      <formula>$C51&gt;0</formula>
    </cfRule>
  </conditionalFormatting>
  <conditionalFormatting sqref="B57:B66">
    <cfRule type="expression" dxfId="3933" priority="2">
      <formula>$C57&gt;0</formula>
    </cfRule>
  </conditionalFormatting>
  <conditionalFormatting sqref="C13:C54">
    <cfRule type="cellIs" dxfId="3932" priority="10" operator="lessThan">
      <formula>1</formula>
    </cfRule>
  </conditionalFormatting>
  <conditionalFormatting sqref="C57:C66">
    <cfRule type="cellIs" dxfId="3931" priority="26" operator="equal">
      <formula>0</formula>
    </cfRule>
  </conditionalFormatting>
  <conditionalFormatting sqref="C9:D9">
    <cfRule type="cellIs" dxfId="3930" priority="20" operator="lessThan">
      <formula>0</formula>
    </cfRule>
    <cfRule type="cellIs" dxfId="3929" priority="21" operator="greaterThan">
      <formula>0</formula>
    </cfRule>
  </conditionalFormatting>
  <conditionalFormatting sqref="F13:F54">
    <cfRule type="expression" dxfId="3928" priority="9">
      <formula>C13&gt;0</formula>
    </cfRule>
  </conditionalFormatting>
  <conditionalFormatting sqref="F57:F66">
    <cfRule type="expression" dxfId="3927" priority="19">
      <formula>C57&gt;0</formula>
    </cfRule>
  </conditionalFormatting>
  <conditionalFormatting sqref="F58:F66">
    <cfRule type="expression" dxfId="3926" priority="25">
      <formula>C58&lt;1</formula>
    </cfRule>
  </conditionalFormatting>
  <conditionalFormatting sqref="G13:G54">
    <cfRule type="cellIs" dxfId="3925" priority="8" operator="greaterThan">
      <formula>0</formula>
    </cfRule>
  </conditionalFormatting>
  <conditionalFormatting sqref="G57:G66">
    <cfRule type="cellIs" dxfId="3924" priority="18" operator="greaterThan">
      <formula>0</formula>
    </cfRule>
  </conditionalFormatting>
  <conditionalFormatting sqref="H13:H54">
    <cfRule type="expression" dxfId="3923" priority="15">
      <formula>$C$9&gt;0</formula>
    </cfRule>
    <cfRule type="expression" dxfId="3922" priority="16">
      <formula>$C$9&lt;0</formula>
    </cfRule>
  </conditionalFormatting>
  <conditionalFormatting sqref="H57:H66">
    <cfRule type="expression" dxfId="3921" priority="32">
      <formula>$C$9&lt;0</formula>
    </cfRule>
    <cfRule type="expression" dxfId="3920" priority="31">
      <formula>$C$9&gt;0</formula>
    </cfRule>
  </conditionalFormatting>
  <conditionalFormatting sqref="J2:J6 J75:J1048576">
    <cfRule type="expression" dxfId="3919" priority="27">
      <formula>$B$9="EURO"</formula>
    </cfRule>
  </conditionalFormatting>
  <conditionalFormatting sqref="J8:J67">
    <cfRule type="expression" dxfId="3918" priority="11">
      <formula>$B$9="EURO"</formula>
    </cfRule>
  </conditionalFormatting>
  <conditionalFormatting sqref="J9 J56:J66">
    <cfRule type="expression" dxfId="3917" priority="28">
      <formula>$B$9="USD"</formula>
    </cfRule>
    <cfRule type="expression" dxfId="3916" priority="29">
      <formula>$B$9="PLN"</formula>
    </cfRule>
    <cfRule type="expression" dxfId="3915" priority="30">
      <formula>$B$9="CZK"</formula>
    </cfRule>
  </conditionalFormatting>
  <conditionalFormatting sqref="J12:J54">
    <cfRule type="expression" dxfId="3914" priority="14">
      <formula>$B$9="CZK"</formula>
    </cfRule>
    <cfRule type="expression" dxfId="3913" priority="13">
      <formula>$B$9="PLN"</formula>
    </cfRule>
    <cfRule type="expression" dxfId="3912" priority="12">
      <formula>$B$9="USD"</formula>
    </cfRule>
  </conditionalFormatting>
  <conditionalFormatting sqref="J68:J74">
    <cfRule type="expression" dxfId="3911" priority="22">
      <formula>$F$10="EURO"</formula>
    </cfRule>
  </conditionalFormatting>
  <conditionalFormatting sqref="J13:K54">
    <cfRule type="cellIs" dxfId="3910" priority="7" operator="greaterThan">
      <formula>0</formula>
    </cfRule>
  </conditionalFormatting>
  <conditionalFormatting sqref="J57:K66">
    <cfRule type="cellIs" dxfId="3909" priority="17" operator="greaterThan">
      <formula>0</formula>
    </cfRule>
  </conditionalFormatting>
  <dataValidations count="1">
    <dataValidation type="list" allowBlank="1" showInputMessage="1" showErrorMessage="1" sqref="D55" xr:uid="{00000000-0002-0000-1B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IF('[4]CANOPY (11)'!C3="","",'[4]CANOPY (11)'!C3)</f>
        <v>#REF!</v>
      </c>
      <c r="D3" s="979"/>
      <c r="E3" s="103" t="s">
        <v>4</v>
      </c>
      <c r="F3" s="935" t="e">
        <f>IF('[4]CANOPY (11)'!G3="","",'[4]CANOPY (11)'!G3)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IF('[4]CANOPY (11)'!C5="","",'[4]CANOPY (11)'!C5)</f>
        <v>#REF!</v>
      </c>
      <c r="D5" s="979"/>
      <c r="E5" s="103" t="s">
        <v>8</v>
      </c>
      <c r="F5" s="935" t="e">
        <f>IF('[4]CANOPY (11)'!G5="","",'[4]CANOPY (11)'!G5)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IF('[4]CANOPY (11)'!C7="","",'[4]CANOPY (11)'!C7)</f>
        <v>#REF!</v>
      </c>
      <c r="D7" s="979"/>
      <c r="E7" s="103" t="s">
        <v>12</v>
      </c>
      <c r="F7" s="939" t="e">
        <f>IF('[4]CANOPY (11)'!G7="","",'[4]CANOPY (11)'!G7)</f>
        <v>#REF!</v>
      </c>
      <c r="G7" s="979"/>
      <c r="H7" s="245"/>
      <c r="J7" s="240" t="s">
        <v>14</v>
      </c>
      <c r="K7" s="787" t="e">
        <f>IF('[4]CANOPY (11)'!O7="","",'[4]CANOPY (11)'!O7)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3908" priority="27">
      <formula>B9="CURRENCY"</formula>
    </cfRule>
    <cfRule type="containsText" dxfId="3907" priority="26" operator="containsText" text="SELECT">
      <formula>NOT(ISERROR(SEARCH("SELECT",B9)))</formula>
    </cfRule>
  </conditionalFormatting>
  <conditionalFormatting sqref="B13:B24">
    <cfRule type="expression" dxfId="3906" priority="4">
      <formula>$C13&gt;0</formula>
    </cfRule>
  </conditionalFormatting>
  <conditionalFormatting sqref="B25:B39">
    <cfRule type="expression" dxfId="3905" priority="3">
      <formula>$C25&gt;0</formula>
    </cfRule>
  </conditionalFormatting>
  <conditionalFormatting sqref="B40:B54">
    <cfRule type="expression" dxfId="3904" priority="2">
      <formula>$C40&gt;0</formula>
    </cfRule>
  </conditionalFormatting>
  <conditionalFormatting sqref="B57:B66">
    <cfRule type="expression" dxfId="3903" priority="1">
      <formula>$C57&gt;0</formula>
    </cfRule>
  </conditionalFormatting>
  <conditionalFormatting sqref="C13:C54">
    <cfRule type="cellIs" dxfId="3902" priority="13" operator="lessThan">
      <formula>1</formula>
    </cfRule>
  </conditionalFormatting>
  <conditionalFormatting sqref="C57:C66">
    <cfRule type="cellIs" dxfId="3901" priority="29" operator="equal">
      <formula>0</formula>
    </cfRule>
  </conditionalFormatting>
  <conditionalFormatting sqref="C9:D9">
    <cfRule type="cellIs" dxfId="3900" priority="24" operator="greaterThan">
      <formula>0</formula>
    </cfRule>
    <cfRule type="cellIs" dxfId="3899" priority="23" operator="lessThan">
      <formula>0</formula>
    </cfRule>
  </conditionalFormatting>
  <conditionalFormatting sqref="F13:F54">
    <cfRule type="expression" dxfId="3898" priority="12">
      <formula>C13&gt;0</formula>
    </cfRule>
  </conditionalFormatting>
  <conditionalFormatting sqref="F57:F66">
    <cfRule type="expression" dxfId="3897" priority="22">
      <formula>C57&gt;0</formula>
    </cfRule>
  </conditionalFormatting>
  <conditionalFormatting sqref="F58:F66">
    <cfRule type="expression" dxfId="3896" priority="28">
      <formula>C58&lt;1</formula>
    </cfRule>
  </conditionalFormatting>
  <conditionalFormatting sqref="G13:G54">
    <cfRule type="cellIs" dxfId="3895" priority="11" operator="greaterThan">
      <formula>0</formula>
    </cfRule>
  </conditionalFormatting>
  <conditionalFormatting sqref="G57:G66">
    <cfRule type="cellIs" dxfId="3894" priority="21" operator="greaterThan">
      <formula>0</formula>
    </cfRule>
  </conditionalFormatting>
  <conditionalFormatting sqref="H13:H54">
    <cfRule type="expression" dxfId="3893" priority="18">
      <formula>$C$9&gt;0</formula>
    </cfRule>
    <cfRule type="expression" dxfId="3892" priority="19">
      <formula>$C$9&lt;0</formula>
    </cfRule>
  </conditionalFormatting>
  <conditionalFormatting sqref="H57:H66">
    <cfRule type="expression" dxfId="3891" priority="34">
      <formula>$C$9&gt;0</formula>
    </cfRule>
    <cfRule type="expression" dxfId="3890" priority="35">
      <formula>$C$9&lt;0</formula>
    </cfRule>
  </conditionalFormatting>
  <conditionalFormatting sqref="J2:J6 J75:J1048576">
    <cfRule type="expression" dxfId="3889" priority="30">
      <formula>$B$9="EURO"</formula>
    </cfRule>
  </conditionalFormatting>
  <conditionalFormatting sqref="J8:J67">
    <cfRule type="expression" dxfId="3888" priority="14">
      <formula>$B$9="EURO"</formula>
    </cfRule>
  </conditionalFormatting>
  <conditionalFormatting sqref="J9 J56:J66">
    <cfRule type="expression" dxfId="3887" priority="31">
      <formula>$B$9="USD"</formula>
    </cfRule>
    <cfRule type="expression" dxfId="3886" priority="32">
      <formula>$B$9="PLN"</formula>
    </cfRule>
    <cfRule type="expression" dxfId="3885" priority="33">
      <formula>$B$9="CZK"</formula>
    </cfRule>
  </conditionalFormatting>
  <conditionalFormatting sqref="J12:J54">
    <cfRule type="expression" dxfId="3884" priority="17">
      <formula>$B$9="CZK"</formula>
    </cfRule>
    <cfRule type="expression" dxfId="3883" priority="16">
      <formula>$B$9="PLN"</formula>
    </cfRule>
    <cfRule type="expression" dxfId="3882" priority="15">
      <formula>$B$9="USD"</formula>
    </cfRule>
  </conditionalFormatting>
  <conditionalFormatting sqref="J68:J74">
    <cfRule type="expression" dxfId="3881" priority="25">
      <formula>$F$10="EURO"</formula>
    </cfRule>
  </conditionalFormatting>
  <conditionalFormatting sqref="J13:K54">
    <cfRule type="cellIs" dxfId="3880" priority="10" operator="greaterThan">
      <formula>0</formula>
    </cfRule>
  </conditionalFormatting>
  <conditionalFormatting sqref="J57:K66">
    <cfRule type="cellIs" dxfId="3879" priority="20" operator="greaterThan">
      <formula>0</formula>
    </cfRule>
  </conditionalFormatting>
  <conditionalFormatting sqref="M12:P54">
    <cfRule type="expression" dxfId="3878" priority="9">
      <formula>$B$9="CZK"</formula>
    </cfRule>
    <cfRule type="expression" dxfId="3877" priority="8">
      <formula>$B$9="PLN"</formula>
    </cfRule>
    <cfRule type="expression" dxfId="3876" priority="7">
      <formula>$B$9="USD"</formula>
    </cfRule>
    <cfRule type="expression" dxfId="3875" priority="6">
      <formula>$B$9="EURO"</formula>
    </cfRule>
  </conditionalFormatting>
  <conditionalFormatting sqref="M13:P54">
    <cfRule type="cellIs" dxfId="3874" priority="5" operator="greaterThan">
      <formula>0</formula>
    </cfRule>
  </conditionalFormatting>
  <dataValidations count="3">
    <dataValidation type="list" allowBlank="1" showInputMessage="1" showErrorMessage="1" sqref="D26" xr:uid="{00000000-0002-0000-1C00-000000000000}">
      <formula1>$H$17:$H$21</formula1>
    </dataValidation>
    <dataValidation type="list" allowBlank="1" showInputMessage="1" showErrorMessage="1" sqref="D55" xr:uid="{00000000-0002-0000-1C00-000001000000}">
      <formula1>$B$3:$B$15</formula1>
    </dataValidation>
    <dataValidation type="list" allowBlank="1" showInputMessage="1" showErrorMessage="1" sqref="D13" xr:uid="{00000000-0002-0000-1C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IF('[4]CANOPY (11)'!C3="","",'[4]CANOPY (11)'!C3)</f>
        <v>#REF!</v>
      </c>
      <c r="D3" s="979"/>
      <c r="E3" s="122" t="s">
        <v>4</v>
      </c>
      <c r="F3" s="987" t="e">
        <f>IF('[4]CANOPY (11)'!G3="","",'[4]CANOPY (11)'!G3)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IF('[4]CANOPY (11)'!C5="","",'[4]CANOPY (11)'!C5)</f>
        <v>#REF!</v>
      </c>
      <c r="D5" s="979"/>
      <c r="E5" s="122" t="s">
        <v>8</v>
      </c>
      <c r="F5" s="987" t="e">
        <f>IF('[4]CANOPY (11)'!G5="","",'[4]CANOPY (11)'!G5)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IF('[4]CANOPY (11)'!C7="","",'[4]CANOPY (11)'!C7)</f>
        <v>#REF!</v>
      </c>
      <c r="D7" s="979"/>
      <c r="E7" s="122" t="s">
        <v>12</v>
      </c>
      <c r="F7" s="989" t="e">
        <f>IF('[4]CANOPY (11)'!G7="","",'[4]CANOPY (11)'!G7)</f>
        <v>#REF!</v>
      </c>
      <c r="G7" s="979"/>
      <c r="H7" s="979"/>
      <c r="J7" s="197" t="s">
        <v>14</v>
      </c>
      <c r="K7" s="484" t="e">
        <f>IF('[4]CANOPY (11)'!O7="","",'[4]CANOPY (11)'!O7)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873" priority="8" operator="containsText" text="SELECT">
      <formula>NOT(ISERROR(SEARCH("SELECT",B10)))</formula>
    </cfRule>
    <cfRule type="expression" dxfId="3872" priority="9">
      <formula>B10="CURRENCY"</formula>
    </cfRule>
  </conditionalFormatting>
  <conditionalFormatting sqref="B14:B41">
    <cfRule type="expression" dxfId="3871" priority="2">
      <formula>$C14&gt;0</formula>
    </cfRule>
  </conditionalFormatting>
  <conditionalFormatting sqref="B44:B55">
    <cfRule type="expression" dxfId="3870" priority="1">
      <formula>$C44&gt;0</formula>
    </cfRule>
  </conditionalFormatting>
  <conditionalFormatting sqref="C14:C41 C44:C55">
    <cfRule type="cellIs" dxfId="3869" priority="12" operator="equal">
      <formula>0</formula>
    </cfRule>
  </conditionalFormatting>
  <conditionalFormatting sqref="C10:D10">
    <cfRule type="cellIs" dxfId="3868" priority="6" operator="lessThan">
      <formula>0</formula>
    </cfRule>
    <cfRule type="cellIs" dxfId="3867" priority="7" operator="greaterThan">
      <formula>0</formula>
    </cfRule>
  </conditionalFormatting>
  <conditionalFormatting sqref="E12:E13">
    <cfRule type="cellIs" dxfId="3866" priority="10" operator="greaterThan">
      <formula>0</formula>
    </cfRule>
    <cfRule type="cellIs" dxfId="3865" priority="11" operator="lessThan">
      <formula>0</formula>
    </cfRule>
  </conditionalFormatting>
  <conditionalFormatting sqref="F14:F41 F44:F55">
    <cfRule type="expression" dxfId="3864" priority="5">
      <formula>C14&gt;0</formula>
    </cfRule>
  </conditionalFormatting>
  <conditionalFormatting sqref="G14:G41 G44:G55">
    <cfRule type="cellIs" dxfId="3863" priority="4" operator="greaterThan">
      <formula>0</formula>
    </cfRule>
  </conditionalFormatting>
  <conditionalFormatting sqref="H14:H41 H44:H55">
    <cfRule type="expression" dxfId="3862" priority="17">
      <formula>$C$10&lt;0</formula>
    </cfRule>
    <cfRule type="expression" dxfId="3861" priority="18">
      <formula>$C$10&gt;0</formula>
    </cfRule>
  </conditionalFormatting>
  <conditionalFormatting sqref="J1:J6 J8:J11 J13:J1048576">
    <cfRule type="expression" dxfId="3860" priority="13">
      <formula>$B$10="EURO"</formula>
    </cfRule>
  </conditionalFormatting>
  <conditionalFormatting sqref="J10 J13:J41 J43:J55">
    <cfRule type="expression" dxfId="3859" priority="14">
      <formula>$B$10="PLN"</formula>
    </cfRule>
    <cfRule type="expression" dxfId="3858" priority="15">
      <formula>$B$10="CZK"</formula>
    </cfRule>
    <cfRule type="expression" dxfId="3857" priority="16">
      <formula>$B$10="USD"</formula>
    </cfRule>
  </conditionalFormatting>
  <conditionalFormatting sqref="J14:K41 J44:K56">
    <cfRule type="cellIs" dxfId="3856" priority="3" operator="greaterThan">
      <formula>0</formula>
    </cfRule>
  </conditionalFormatting>
  <dataValidations count="1">
    <dataValidation type="list" allowBlank="1" showInputMessage="1" showErrorMessage="1" sqref="F12:F13" xr:uid="{00000000-0002-0000-1D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IF('[4]CANOPY (11)'!C3="","",'[4]CANOPY (11)'!C3)</f>
        <v>#REF!</v>
      </c>
      <c r="D3" s="990"/>
      <c r="E3" s="129"/>
      <c r="F3" s="132" t="s">
        <v>4</v>
      </c>
      <c r="G3" s="938" t="e">
        <f>IF('[4]CANOPY (11)'!G3="","",'[4]CANOPY (11)'!G3)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IF('[4]CANOPY (11)'!C5="","",'[4]CANOPY (11)'!C5)</f>
        <v>#REF!</v>
      </c>
      <c r="D5" s="990"/>
      <c r="E5" s="131"/>
      <c r="F5" s="132" t="s">
        <v>8</v>
      </c>
      <c r="G5" s="938" t="e">
        <f>IF('[4]CANOPY (11)'!G5="","",'[4]CANOPY (11)'!G5)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IF('[4]CANOPY (11)'!C7="","",'[4]CANOPY (11)'!C7)</f>
        <v>#REF!</v>
      </c>
      <c r="D7" s="990"/>
      <c r="E7" s="135"/>
      <c r="F7" s="136" t="s">
        <v>12</v>
      </c>
      <c r="G7" s="939" t="e">
        <f>IF('[4]CANOPY (11)'!G7="","",'[4]CANOPY (11)'!G7)</f>
        <v>#REF!</v>
      </c>
      <c r="H7" s="990"/>
      <c r="I7" s="51"/>
      <c r="J7" s="280"/>
      <c r="K7" s="280" t="s">
        <v>14</v>
      </c>
      <c r="L7" s="484" t="e">
        <f>IF('[4]CANOPY (11)'!O7="","",'[4]CANOPY (11)'!O7)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3855" priority="26">
      <formula>B9="CURRENCY"</formula>
    </cfRule>
    <cfRule type="containsText" dxfId="3854" priority="25" operator="containsText" text="SELECT">
      <formula>NOT(ISERROR(SEARCH("SELECT",B9)))</formula>
    </cfRule>
  </conditionalFormatting>
  <conditionalFormatting sqref="B15:B29">
    <cfRule type="expression" dxfId="3853" priority="9">
      <formula>$D15&gt;0</formula>
    </cfRule>
  </conditionalFormatting>
  <conditionalFormatting sqref="B49 E49:F49">
    <cfRule type="expression" dxfId="3852" priority="49">
      <formula>C40="select controls"</formula>
    </cfRule>
  </conditionalFormatting>
  <conditionalFormatting sqref="C13">
    <cfRule type="containsText" dxfId="3851" priority="29" operator="containsText" text="SELECT">
      <formula>NOT(ISERROR(SEARCH("SELECT",C13)))</formula>
    </cfRule>
  </conditionalFormatting>
  <conditionalFormatting sqref="C15:C22">
    <cfRule type="containsText" dxfId="3850" priority="15" operator="containsText" text="SIZE">
      <formula>NOT(ISERROR(SEARCH("SIZE",C15)))</formula>
    </cfRule>
  </conditionalFormatting>
  <conditionalFormatting sqref="C25">
    <cfRule type="containsText" dxfId="3849" priority="37" operator="containsText" text="SELECT CONTROLS">
      <formula>NOT(ISERROR(SEARCH("SELECT CONTROLS",C25)))</formula>
    </cfRule>
  </conditionalFormatting>
  <conditionalFormatting sqref="C26">
    <cfRule type="expression" dxfId="3848" priority="32">
      <formula>$C$25="SMARTEC"</formula>
    </cfRule>
    <cfRule type="containsText" dxfId="3847" priority="31" operator="containsText" text="st/st">
      <formula>NOT(ISERROR(SEARCH("st/st",C26)))</formula>
    </cfRule>
  </conditionalFormatting>
  <conditionalFormatting sqref="C31:C32">
    <cfRule type="cellIs" dxfId="3846" priority="20" operator="greaterThan">
      <formula>0</formula>
    </cfRule>
  </conditionalFormatting>
  <conditionalFormatting sqref="C52:C61">
    <cfRule type="cellIs" dxfId="3845" priority="28" operator="lessThan">
      <formula>1</formula>
    </cfRule>
  </conditionalFormatting>
  <conditionalFormatting sqref="C9:D9">
    <cfRule type="cellIs" dxfId="3844" priority="23" operator="lessThan">
      <formula>0</formula>
    </cfRule>
    <cfRule type="cellIs" dxfId="3843" priority="24" operator="greaterThan">
      <formula>0</formula>
    </cfRule>
  </conditionalFormatting>
  <conditionalFormatting sqref="C29:D29">
    <cfRule type="expression" dxfId="3842" priority="36">
      <formula>$C$25="REMOTE TOUCH SCREEN"</formula>
    </cfRule>
    <cfRule type="expression" dxfId="3841" priority="35">
      <formula>$C$25="SMARTEC"</formula>
    </cfRule>
  </conditionalFormatting>
  <conditionalFormatting sqref="D26">
    <cfRule type="expression" dxfId="3840" priority="33">
      <formula>C25="SMARTEC"</formula>
    </cfRule>
    <cfRule type="expression" dxfId="3839" priority="30">
      <formula>C26="st/st enclosure"</formula>
    </cfRule>
  </conditionalFormatting>
  <conditionalFormatting sqref="D29">
    <cfRule type="expression" dxfId="3838" priority="34">
      <formula>$C$25="SMARTEC"</formula>
    </cfRule>
  </conditionalFormatting>
  <conditionalFormatting sqref="D38">
    <cfRule type="expression" dxfId="3837" priority="48">
      <formula>#REF!="SMARTEC"</formula>
    </cfRule>
    <cfRule type="expression" dxfId="3836" priority="47">
      <formula>C38="st/st enclosure"</formula>
    </cfRule>
  </conditionalFormatting>
  <conditionalFormatting sqref="E39:E43">
    <cfRule type="expression" dxfId="3835" priority="46">
      <formula>#REF!="select controls"</formula>
    </cfRule>
  </conditionalFormatting>
  <conditionalFormatting sqref="E44:F45 B45:B48 E46:E47 E48:F48">
    <cfRule type="expression" dxfId="3834" priority="27">
      <formula>C38="select controls"</formula>
    </cfRule>
  </conditionalFormatting>
  <conditionalFormatting sqref="F40">
    <cfRule type="expression" dxfId="3833" priority="1">
      <formula>G34="select controls"</formula>
    </cfRule>
  </conditionalFormatting>
  <conditionalFormatting sqref="G15:G36">
    <cfRule type="cellIs" dxfId="3832" priority="2" operator="greaterThan">
      <formula>0</formula>
    </cfRule>
  </conditionalFormatting>
  <conditionalFormatting sqref="G38:G49">
    <cfRule type="cellIs" dxfId="3831" priority="18" operator="greaterThan">
      <formula>0</formula>
    </cfRule>
  </conditionalFormatting>
  <conditionalFormatting sqref="G52:G61">
    <cfRule type="expression" dxfId="3830" priority="8">
      <formula>C52&gt;0</formula>
    </cfRule>
  </conditionalFormatting>
  <conditionalFormatting sqref="H13 J13 L13">
    <cfRule type="expression" dxfId="3829" priority="38">
      <formula>$B$9="EURO"</formula>
    </cfRule>
  </conditionalFormatting>
  <conditionalFormatting sqref="H15:H61">
    <cfRule type="cellIs" dxfId="3828" priority="19" operator="greaterThan">
      <formula>0</formula>
    </cfRule>
  </conditionalFormatting>
  <conditionalFormatting sqref="I15:I36 I38:I49 I52:I61">
    <cfRule type="expression" dxfId="3827" priority="44">
      <formula>$C$9&lt;0</formula>
    </cfRule>
    <cfRule type="expression" dxfId="3826" priority="43">
      <formula>$C$9&gt;0</formula>
    </cfRule>
  </conditionalFormatting>
  <conditionalFormatting sqref="J37">
    <cfRule type="expression" dxfId="3825" priority="42">
      <formula>$B$9="EURO"</formula>
    </cfRule>
    <cfRule type="expression" dxfId="3824" priority="41">
      <formula>$B$9="USD"</formula>
    </cfRule>
    <cfRule type="expression" dxfId="3823" priority="40">
      <formula>$B$9="CZK"</formula>
    </cfRule>
    <cfRule type="expression" dxfId="3822" priority="39">
      <formula>$B$9="PLN"</formula>
    </cfRule>
  </conditionalFormatting>
  <conditionalFormatting sqref="J63:J69">
    <cfRule type="expression" dxfId="3821" priority="45">
      <formula>#REF!="EURO"</formula>
    </cfRule>
  </conditionalFormatting>
  <conditionalFormatting sqref="K1:K36">
    <cfRule type="expression" dxfId="3820" priority="5">
      <formula>$B$9="USD"</formula>
    </cfRule>
    <cfRule type="expression" dxfId="3819" priority="4">
      <formula>$B$9="EURO"</formula>
    </cfRule>
    <cfRule type="expression" dxfId="3818" priority="6">
      <formula>$B$9="PLN"</formula>
    </cfRule>
  </conditionalFormatting>
  <conditionalFormatting sqref="K1:K1048576">
    <cfRule type="expression" dxfId="3817" priority="7">
      <formula>$B$9="CZK"</formula>
    </cfRule>
  </conditionalFormatting>
  <conditionalFormatting sqref="K15:K36">
    <cfRule type="cellIs" dxfId="3816" priority="3" operator="greaterThan">
      <formula>0</formula>
    </cfRule>
  </conditionalFormatting>
  <conditionalFormatting sqref="K38:K49">
    <cfRule type="cellIs" dxfId="3815" priority="14" operator="greaterThan">
      <formula>0</formula>
    </cfRule>
  </conditionalFormatting>
  <conditionalFormatting sqref="K38:K1048576">
    <cfRule type="expression" dxfId="3814" priority="11">
      <formula>$B$9="EURO"</formula>
    </cfRule>
    <cfRule type="expression" dxfId="3813" priority="12">
      <formula>$B$9="USD"</formula>
    </cfRule>
    <cfRule type="expression" dxfId="3812" priority="13">
      <formula>$B$9="PLN"</formula>
    </cfRule>
  </conditionalFormatting>
  <conditionalFormatting sqref="K50">
    <cfRule type="cellIs" dxfId="3811" priority="22" operator="greaterThan">
      <formula>0</formula>
    </cfRule>
  </conditionalFormatting>
  <conditionalFormatting sqref="K52:K61">
    <cfRule type="cellIs" dxfId="3810" priority="10" operator="greaterThan">
      <formula>0</formula>
    </cfRule>
  </conditionalFormatting>
  <conditionalFormatting sqref="L15:L36 L52:L61">
    <cfRule type="cellIs" dxfId="3809" priority="21" operator="greaterThan">
      <formula>0</formula>
    </cfRule>
  </conditionalFormatting>
  <conditionalFormatting sqref="L38:L49">
    <cfRule type="cellIs" dxfId="3808" priority="17" operator="greaterThan">
      <formula>0</formula>
    </cfRule>
  </conditionalFormatting>
  <conditionalFormatting sqref="U40">
    <cfRule type="cellIs" dxfId="3807" priority="16" operator="greaterThan">
      <formula>0</formula>
    </cfRule>
  </conditionalFormatting>
  <dataValidations count="3">
    <dataValidation type="list" allowBlank="1" showInputMessage="1" showErrorMessage="1" sqref="C25" xr:uid="{00000000-0002-0000-1E00-000000000000}">
      <formula1>"SELECT CONTROLS,SMARTEC, REMOTE TOUCH SCREEN"</formula1>
    </dataValidation>
    <dataValidation type="list" allowBlank="1" showInputMessage="1" showErrorMessage="1" sqref="C13" xr:uid="{00000000-0002-0000-1E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1E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IF('[4]CANOPY (11)'!C3="","",'[4]CANOPY (11)'!C3)</f>
        <v>#REF!</v>
      </c>
      <c r="D3" s="990"/>
      <c r="E3" s="129"/>
      <c r="F3" s="132" t="s">
        <v>4</v>
      </c>
      <c r="G3" s="938" t="e">
        <f>IF('[4]CANOPY (11)'!G3="","",'[4]CANOPY (11)'!G3)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IF('[4]CANOPY (11)'!C5="","",'[4]CANOPY (11)'!C5)</f>
        <v>#REF!</v>
      </c>
      <c r="D5" s="990"/>
      <c r="E5" s="131"/>
      <c r="F5" s="132" t="s">
        <v>8</v>
      </c>
      <c r="G5" s="938" t="e">
        <f>IF('[4]CANOPY (11)'!G5="","",'[4]CANOPY (11)'!G5)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IF('[4]CANOPY (11)'!C7="","",'[4]CANOPY (11)'!C7)</f>
        <v>#REF!</v>
      </c>
      <c r="D7" s="990"/>
      <c r="E7" s="135"/>
      <c r="F7" s="136" t="s">
        <v>12</v>
      </c>
      <c r="G7" s="939" t="e">
        <f>IF('[4]CANOPY (11)'!G7="","",'[4]CANOPY (11)'!G7)</f>
        <v>#REF!</v>
      </c>
      <c r="H7" s="990"/>
      <c r="I7" s="51"/>
      <c r="J7" s="280"/>
      <c r="K7" s="280" t="s">
        <v>14</v>
      </c>
      <c r="L7" s="484" t="e">
        <f>IF('[4]CANOPY (11)'!O7="","",'[4]CANOPY (11)'!O7)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3806" priority="30">
      <formula>B9="CURRENCY"</formula>
    </cfRule>
    <cfRule type="containsText" dxfId="3805" priority="29" operator="containsText" text="SELECT">
      <formula>NOT(ISERROR(SEARCH("SELECT",B9)))</formula>
    </cfRule>
  </conditionalFormatting>
  <conditionalFormatting sqref="B15:B30">
    <cfRule type="expression" dxfId="3804" priority="2">
      <formula>$D15&gt;0</formula>
    </cfRule>
  </conditionalFormatting>
  <conditionalFormatting sqref="B50 E50:F50">
    <cfRule type="expression" dxfId="3803" priority="53">
      <formula>C41="select controls"</formula>
    </cfRule>
  </conditionalFormatting>
  <conditionalFormatting sqref="C13">
    <cfRule type="containsText" dxfId="3802" priority="33" operator="containsText" text="SELECT">
      <formula>NOT(ISERROR(SEARCH("SELECT",C13)))</formula>
    </cfRule>
  </conditionalFormatting>
  <conditionalFormatting sqref="C15:C23">
    <cfRule type="containsText" dxfId="3801" priority="8" operator="containsText" text="SIZE">
      <formula>NOT(ISERROR(SEARCH("SIZE",C15)))</formula>
    </cfRule>
  </conditionalFormatting>
  <conditionalFormatting sqref="C26">
    <cfRule type="containsText" dxfId="3800" priority="41" operator="containsText" text="SELECT CONTROLS">
      <formula>NOT(ISERROR(SEARCH("SELECT CONTROLS",C26)))</formula>
    </cfRule>
  </conditionalFormatting>
  <conditionalFormatting sqref="C27">
    <cfRule type="expression" dxfId="3799" priority="36">
      <formula>$C$26="SMARTEC"</formula>
    </cfRule>
    <cfRule type="containsText" dxfId="3798" priority="35" operator="containsText" text="st/st">
      <formula>NOT(ISERROR(SEARCH("st/st",C27)))</formula>
    </cfRule>
  </conditionalFormatting>
  <conditionalFormatting sqref="C32:C33">
    <cfRule type="cellIs" dxfId="3797" priority="24" operator="greaterThan">
      <formula>0</formula>
    </cfRule>
  </conditionalFormatting>
  <conditionalFormatting sqref="C53:C62">
    <cfRule type="cellIs" dxfId="3796" priority="32" operator="lessThan">
      <formula>1</formula>
    </cfRule>
  </conditionalFormatting>
  <conditionalFormatting sqref="C9:D9">
    <cfRule type="cellIs" dxfId="3795" priority="27" operator="lessThan">
      <formula>0</formula>
    </cfRule>
    <cfRule type="cellIs" dxfId="3794" priority="28" operator="greaterThan">
      <formula>0</formula>
    </cfRule>
  </conditionalFormatting>
  <conditionalFormatting sqref="C30:D30">
    <cfRule type="expression" dxfId="3793" priority="40">
      <formula>$C$26="REMOTE TOUCH SCREEN"</formula>
    </cfRule>
    <cfRule type="expression" dxfId="3792" priority="39">
      <formula>$C$26="SMARTEC"</formula>
    </cfRule>
  </conditionalFormatting>
  <conditionalFormatting sqref="D27">
    <cfRule type="expression" dxfId="3791" priority="37">
      <formula>C26="SMARTEC"</formula>
    </cfRule>
    <cfRule type="expression" dxfId="3790" priority="34">
      <formula>C27="st/st enclosure"</formula>
    </cfRule>
  </conditionalFormatting>
  <conditionalFormatting sqref="D30">
    <cfRule type="expression" dxfId="3789" priority="38">
      <formula>$C$26="SMARTEC"</formula>
    </cfRule>
  </conditionalFormatting>
  <conditionalFormatting sqref="D39">
    <cfRule type="expression" dxfId="3788" priority="52">
      <formula>#REF!="SMARTEC"</formula>
    </cfRule>
    <cfRule type="expression" dxfId="3787" priority="51">
      <formula>C39="st/st enclosure"</formula>
    </cfRule>
  </conditionalFormatting>
  <conditionalFormatting sqref="E40:E44">
    <cfRule type="expression" dxfId="3786" priority="50">
      <formula>#REF!="select controls"</formula>
    </cfRule>
  </conditionalFormatting>
  <conditionalFormatting sqref="E45 E46:F46 B46:B47 E47:E48 B49 E49:F49">
    <cfRule type="expression" dxfId="3785" priority="31">
      <formula>C39="select controls"</formula>
    </cfRule>
  </conditionalFormatting>
  <conditionalFormatting sqref="F41:F45">
    <cfRule type="expression" dxfId="3784" priority="1">
      <formula>G35="select controls"</formula>
    </cfRule>
  </conditionalFormatting>
  <conditionalFormatting sqref="G15:G37">
    <cfRule type="cellIs" dxfId="3783" priority="9" operator="greaterThan">
      <formula>0</formula>
    </cfRule>
  </conditionalFormatting>
  <conditionalFormatting sqref="G39:G50">
    <cfRule type="cellIs" dxfId="3782" priority="14" operator="greaterThan">
      <formula>0</formula>
    </cfRule>
  </conditionalFormatting>
  <conditionalFormatting sqref="G53:G62">
    <cfRule type="expression" dxfId="3781" priority="15">
      <formula>C53&gt;0</formula>
    </cfRule>
  </conditionalFormatting>
  <conditionalFormatting sqref="H13 J13 L13">
    <cfRule type="expression" dxfId="3780" priority="42">
      <formula>$B$9="EURO"</formula>
    </cfRule>
  </conditionalFormatting>
  <conditionalFormatting sqref="H23">
    <cfRule type="cellIs" dxfId="3779" priority="11" operator="greaterThan">
      <formula>0</formula>
    </cfRule>
  </conditionalFormatting>
  <conditionalFormatting sqref="H25:H62">
    <cfRule type="cellIs" dxfId="3778" priority="23" operator="greaterThan">
      <formula>0</formula>
    </cfRule>
  </conditionalFormatting>
  <conditionalFormatting sqref="H15:L22 L53:L62">
    <cfRule type="cellIs" dxfId="3777" priority="25" operator="greaterThan">
      <formula>0</formula>
    </cfRule>
  </conditionalFormatting>
  <conditionalFormatting sqref="I15:I37">
    <cfRule type="expression" dxfId="3776" priority="12">
      <formula>$C$9&gt;0</formula>
    </cfRule>
  </conditionalFormatting>
  <conditionalFormatting sqref="I23:I37">
    <cfRule type="expression" dxfId="3775" priority="13">
      <formula>$C$9&lt;0</formula>
    </cfRule>
  </conditionalFormatting>
  <conditionalFormatting sqref="I39:I50 I53:I62 I15:I22">
    <cfRule type="expression" dxfId="3774" priority="48">
      <formula>$C$9&lt;0</formula>
    </cfRule>
  </conditionalFormatting>
  <conditionalFormatting sqref="I39:I50 I53:I62">
    <cfRule type="expression" dxfId="3773" priority="47">
      <formula>$C$9&gt;0</formula>
    </cfRule>
  </conditionalFormatting>
  <conditionalFormatting sqref="J38">
    <cfRule type="expression" dxfId="3772" priority="43">
      <formula>$B$9="PLN"</formula>
    </cfRule>
    <cfRule type="expression" dxfId="3771" priority="44">
      <formula>$B$9="CZK"</formula>
    </cfRule>
    <cfRule type="expression" dxfId="3770" priority="45">
      <formula>$B$9="USD"</formula>
    </cfRule>
    <cfRule type="expression" dxfId="3769" priority="46">
      <formula>$B$9="EURO"</formula>
    </cfRule>
  </conditionalFormatting>
  <conditionalFormatting sqref="J64:J70">
    <cfRule type="expression" dxfId="3768" priority="49">
      <formula>#REF!="EURO"</formula>
    </cfRule>
  </conditionalFormatting>
  <conditionalFormatting sqref="K1:K37">
    <cfRule type="expression" dxfId="3767" priority="5">
      <formula>$B$9="USD"</formula>
    </cfRule>
    <cfRule type="expression" dxfId="3766" priority="4">
      <formula>$B$9="EURO"</formula>
    </cfRule>
    <cfRule type="expression" dxfId="3765" priority="6">
      <formula>$B$9="PLN"</formula>
    </cfRule>
  </conditionalFormatting>
  <conditionalFormatting sqref="K1:K1048576">
    <cfRule type="expression" dxfId="3764" priority="7">
      <formula>$B$9="CZK"</formula>
    </cfRule>
  </conditionalFormatting>
  <conditionalFormatting sqref="K15:K37">
    <cfRule type="cellIs" dxfId="3763" priority="3" operator="greaterThan">
      <formula>0</formula>
    </cfRule>
  </conditionalFormatting>
  <conditionalFormatting sqref="K39:K50">
    <cfRule type="cellIs" dxfId="3762" priority="20" operator="greaterThan">
      <formula>0</formula>
    </cfRule>
  </conditionalFormatting>
  <conditionalFormatting sqref="K39:K1048576">
    <cfRule type="expression" dxfId="3761" priority="19">
      <formula>$B$9="PLN"</formula>
    </cfRule>
    <cfRule type="expression" dxfId="3760" priority="18">
      <formula>$B$9="USD"</formula>
    </cfRule>
    <cfRule type="expression" dxfId="3759" priority="17">
      <formula>$B$9="EURO"</formula>
    </cfRule>
  </conditionalFormatting>
  <conditionalFormatting sqref="K51">
    <cfRule type="cellIs" dxfId="3758" priority="26" operator="greaterThan">
      <formula>0</formula>
    </cfRule>
  </conditionalFormatting>
  <conditionalFormatting sqref="K53:K62">
    <cfRule type="cellIs" dxfId="3757" priority="16" operator="greaterThan">
      <formula>0</formula>
    </cfRule>
  </conditionalFormatting>
  <conditionalFormatting sqref="L23:L37">
    <cfRule type="cellIs" dxfId="3756" priority="10" operator="greaterThan">
      <formula>0</formula>
    </cfRule>
  </conditionalFormatting>
  <conditionalFormatting sqref="L39:L50">
    <cfRule type="cellIs" dxfId="3755" priority="22" operator="greaterThan">
      <formula>0</formula>
    </cfRule>
  </conditionalFormatting>
  <conditionalFormatting sqref="T41">
    <cfRule type="cellIs" dxfId="3754"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1F00-000000000000}">
      <formula1>#REF!</formula1>
    </dataValidation>
    <dataValidation type="list" allowBlank="1" showInputMessage="1" showErrorMessage="1" sqref="C13" xr:uid="{00000000-0002-0000-1F00-000001000000}">
      <formula1>"SELECT MODEL,INTERNAL,EXTERNAL"</formula1>
    </dataValidation>
    <dataValidation type="list" allowBlank="1" showInputMessage="1" showErrorMessage="1" sqref="C26" xr:uid="{00000000-0002-0000-1F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IF('[4]CANOPY (11)'!C3="","",'[4]CANOPY (11)'!C3)</f>
        <v>#REF!</v>
      </c>
      <c r="E3" s="934"/>
      <c r="G3" s="71" t="s">
        <v>4</v>
      </c>
      <c r="H3" s="935" t="e">
        <f>IF('[4]CANOPY (11)'!G3="","",'[4]CANOPY (11)'!G3)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IF('[4]CANOPY (11)'!C5="","",'[4]CANOPY (11)'!C5)</f>
        <v>#REF!</v>
      </c>
      <c r="E5" s="934"/>
      <c r="G5" s="71" t="s">
        <v>8</v>
      </c>
      <c r="H5" s="935" t="e">
        <f>IF('[4]CANOPY (11)'!G5="","",'[4]CANOPY (11)'!G5)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IF('[4]CANOPY (11)'!C7="","",'[4]CANOPY (11)'!C7)</f>
        <v>#REF!</v>
      </c>
      <c r="E7" s="934"/>
      <c r="G7" s="71" t="s">
        <v>12</v>
      </c>
      <c r="H7" s="939" t="e">
        <f>IF('[4]CANOPY (11)'!G7="","",'[4]CANOPY (11)'!G7)</f>
        <v>#REF!</v>
      </c>
      <c r="I7" s="936"/>
      <c r="J7" s="937"/>
      <c r="N7" s="266" t="s">
        <v>14</v>
      </c>
      <c r="O7" s="787" t="e">
        <f>IF('[4]CANOPY (11)'!O7="","",'[4]CANOPY (11)'!O7)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3753" priority="26">
      <formula>C9="CURRENCY"</formula>
    </cfRule>
    <cfRule type="containsText" dxfId="3752" priority="25" operator="containsText" text="SELECT">
      <formula>NOT(ISERROR(SEARCH("SELECT",C9)))</formula>
    </cfRule>
  </conditionalFormatting>
  <conditionalFormatting sqref="C14:C23">
    <cfRule type="expression" dxfId="3751" priority="1">
      <formula>$J14&gt;0</formula>
    </cfRule>
  </conditionalFormatting>
  <conditionalFormatting sqref="C27:C37">
    <cfRule type="expression" dxfId="3750" priority="10">
      <formula>$D27&gt;0</formula>
    </cfRule>
  </conditionalFormatting>
  <conditionalFormatting sqref="D27:D28 D30:D37">
    <cfRule type="cellIs" dxfId="3749" priority="27" operator="lessThan">
      <formula>1</formula>
    </cfRule>
  </conditionalFormatting>
  <conditionalFormatting sqref="D29">
    <cfRule type="cellIs" dxfId="3748" priority="22" operator="lessThan">
      <formula>1</formula>
    </cfRule>
  </conditionalFormatting>
  <conditionalFormatting sqref="D9:E9">
    <cfRule type="cellIs" dxfId="3747" priority="23" operator="lessThan">
      <formula>0</formula>
    </cfRule>
    <cfRule type="cellIs" dxfId="3746" priority="24" operator="greaterThan">
      <formula>0</formula>
    </cfRule>
  </conditionalFormatting>
  <conditionalFormatting sqref="F12">
    <cfRule type="cellIs" dxfId="3745" priority="37" operator="greaterThan">
      <formula>2000</formula>
    </cfRule>
    <cfRule type="expression" dxfId="3744" priority="36">
      <formula>ISNUMBER(SEARCH("I-MUAP",#REF!))</formula>
    </cfRule>
    <cfRule type="expression" dxfId="3743" priority="35">
      <formula>AND((ISNUMBER(SEARCH("I-MUAP",#REF!))),F12&lt;2500)</formula>
    </cfRule>
  </conditionalFormatting>
  <conditionalFormatting sqref="F12:G12">
    <cfRule type="cellIs" dxfId="3742" priority="28" operator="lessThan">
      <formula>1000</formula>
    </cfRule>
  </conditionalFormatting>
  <conditionalFormatting sqref="F14:G19">
    <cfRule type="cellIs" dxfId="3741" priority="3" operator="lessThan">
      <formula>1000</formula>
    </cfRule>
  </conditionalFormatting>
  <conditionalFormatting sqref="G12">
    <cfRule type="cellIs" dxfId="3740" priority="29" operator="greaterThan">
      <formula>3001</formula>
    </cfRule>
  </conditionalFormatting>
  <conditionalFormatting sqref="H11">
    <cfRule type="expression" dxfId="3739" priority="38">
      <formula>((#REF!-50)/#REF!)&lt;950</formula>
    </cfRule>
  </conditionalFormatting>
  <conditionalFormatting sqref="H12">
    <cfRule type="expression" dxfId="3738" priority="39">
      <formula>((#REF!-50)/#REF!)&lt;950</formula>
    </cfRule>
  </conditionalFormatting>
  <conditionalFormatting sqref="H14:H19">
    <cfRule type="cellIs" dxfId="3737" priority="4" operator="lessThan">
      <formula>400</formula>
    </cfRule>
  </conditionalFormatting>
  <conditionalFormatting sqref="H24">
    <cfRule type="expression" dxfId="3736" priority="34">
      <formula>((#REF!-50)/#REF!)&lt;950</formula>
    </cfRule>
  </conditionalFormatting>
  <conditionalFormatting sqref="J14:J21">
    <cfRule type="cellIs" dxfId="3735" priority="15" operator="greaterThan">
      <formula>0</formula>
    </cfRule>
  </conditionalFormatting>
  <conditionalFormatting sqref="J27:J37">
    <cfRule type="expression" dxfId="3734" priority="16">
      <formula>D27&gt;0</formula>
    </cfRule>
  </conditionalFormatting>
  <conditionalFormatting sqref="J39:J45">
    <cfRule type="expression" dxfId="3733" priority="44">
      <formula>#REF!="EURO"</formula>
    </cfRule>
  </conditionalFormatting>
  <conditionalFormatting sqref="K14:K23 N14:O23">
    <cfRule type="cellIs" dxfId="3732" priority="2" operator="greaterThan">
      <formula>0</formula>
    </cfRule>
  </conditionalFormatting>
  <conditionalFormatting sqref="K27:K37">
    <cfRule type="cellIs" dxfId="3731" priority="21" operator="greaterThan">
      <formula>0</formula>
    </cfRule>
  </conditionalFormatting>
  <conditionalFormatting sqref="K39:K45">
    <cfRule type="expression" dxfId="3730" priority="40">
      <formula>$C$9="PLN"</formula>
    </cfRule>
    <cfRule type="expression" dxfId="3729" priority="41">
      <formula>$C$9="CZK"</formula>
    </cfRule>
    <cfRule type="expression" dxfId="3728" priority="42">
      <formula>$C$9="USD"</formula>
    </cfRule>
    <cfRule type="expression" dxfId="3727" priority="43">
      <formula>$C$9="EURO"</formula>
    </cfRule>
  </conditionalFormatting>
  <conditionalFormatting sqref="L14:L23">
    <cfRule type="expression" dxfId="3726" priority="14">
      <formula>$D$9&gt;0</formula>
    </cfRule>
    <cfRule type="expression" dxfId="3725" priority="13">
      <formula>$D$9&lt;0</formula>
    </cfRule>
  </conditionalFormatting>
  <conditionalFormatting sqref="L27:L37">
    <cfRule type="expression" dxfId="3724" priority="12">
      <formula>$D$9&gt;0</formula>
    </cfRule>
    <cfRule type="expression" dxfId="3723" priority="11">
      <formula>$D$9&lt;0</formula>
    </cfRule>
  </conditionalFormatting>
  <conditionalFormatting sqref="N9 N12">
    <cfRule type="expression" dxfId="3722" priority="30">
      <formula>$C$9="PLN"</formula>
    </cfRule>
    <cfRule type="expression" dxfId="3721" priority="31">
      <formula>$C$9="CZK"</formula>
    </cfRule>
    <cfRule type="expression" dxfId="3720" priority="32">
      <formula>$C$9="USD"</formula>
    </cfRule>
    <cfRule type="expression" dxfId="3719" priority="33">
      <formula>$C$9="EURO"</formula>
    </cfRule>
  </conditionalFormatting>
  <conditionalFormatting sqref="N14:N23">
    <cfRule type="expression" dxfId="3718" priority="20">
      <formula>$C$9="EURO"</formula>
    </cfRule>
    <cfRule type="expression" dxfId="3717" priority="19">
      <formula>$C$9="USD"</formula>
    </cfRule>
    <cfRule type="expression" dxfId="3716" priority="18">
      <formula>$C$9="CZK"</formula>
    </cfRule>
    <cfRule type="expression" dxfId="3715" priority="17">
      <formula>$C$9="PLN"</formula>
    </cfRule>
  </conditionalFormatting>
  <conditionalFormatting sqref="N26:N37">
    <cfRule type="expression" dxfId="3714" priority="6">
      <formula>$C$9="PLN"</formula>
    </cfRule>
    <cfRule type="expression" dxfId="3713" priority="7">
      <formula>$C$9="CZK"</formula>
    </cfRule>
    <cfRule type="expression" dxfId="3712" priority="9">
      <formula>$C$9="EURO"</formula>
    </cfRule>
    <cfRule type="expression" dxfId="3711" priority="8">
      <formula>$C$9="USD"</formula>
    </cfRule>
  </conditionalFormatting>
  <conditionalFormatting sqref="N27:O37">
    <cfRule type="cellIs" dxfId="3710" priority="5" operator="greaterThan">
      <formula>0</formula>
    </cfRule>
  </conditionalFormatting>
  <dataValidations count="3">
    <dataValidation type="list" allowBlank="1" showInputMessage="1" showErrorMessage="1" sqref="H25" xr:uid="{00000000-0002-0000-2000-000000000000}">
      <formula1>#REF!</formula1>
    </dataValidation>
    <dataValidation type="list" allowBlank="1" showInputMessage="1" showErrorMessage="1" sqref="E14:E23" xr:uid="{00000000-0002-0000-2000-000001000000}">
      <formula1>"0,1,2,3,4,5,6,7,8,9,10,11,12,13,14,15,16,17,18,19,20"</formula1>
    </dataValidation>
    <dataValidation operator="greaterThan" allowBlank="1" showInputMessage="1" showErrorMessage="1" sqref="F14:F19" xr:uid="{00000000-0002-0000-20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IF('[4]CANOPY (11)'!C3="","",'[4]CANOPY (11)'!C3)</f>
        <v>#REF!</v>
      </c>
      <c r="E3" s="934"/>
      <c r="G3" s="71" t="s">
        <v>4</v>
      </c>
      <c r="H3" s="935" t="e">
        <f>IF('[4]CANOPY (11)'!G3="","",'[4]CANOPY (11)'!G3)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IF('[4]CANOPY (11)'!C5="","",'[4]CANOPY (11)'!C5)</f>
        <v>#REF!</v>
      </c>
      <c r="E5" s="934"/>
      <c r="G5" s="71" t="s">
        <v>8</v>
      </c>
      <c r="H5" s="935" t="e">
        <f>IF('[4]CANOPY (11)'!G5="","",'[4]CANOPY (11)'!G5)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IF('[4]CANOPY (11)'!C7="","",'[4]CANOPY (11)'!C7)</f>
        <v>#REF!</v>
      </c>
      <c r="E7" s="934"/>
      <c r="G7" s="71" t="s">
        <v>12</v>
      </c>
      <c r="H7" s="939" t="e">
        <f>IF('[4]CANOPY (11)'!G7="","",'[4]CANOPY (11)'!G7)</f>
        <v>#REF!</v>
      </c>
      <c r="I7" s="936"/>
      <c r="J7" s="937"/>
      <c r="N7" s="266" t="s">
        <v>14</v>
      </c>
      <c r="O7" s="787" t="e">
        <f>IF('[4]CANOPY (11)'!O7="","",'[4]CANOPY (11)'!O7)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709" priority="34">
      <formula>C9="CURRENCY"</formula>
    </cfRule>
    <cfRule type="containsText" dxfId="3708" priority="33" operator="containsText" text="SELECT">
      <formula>NOT(ISERROR(SEARCH("SELECT",C9)))</formula>
    </cfRule>
  </conditionalFormatting>
  <conditionalFormatting sqref="C14:C32">
    <cfRule type="expression" dxfId="3707" priority="10">
      <formula>$J14&gt;0</formula>
    </cfRule>
  </conditionalFormatting>
  <conditionalFormatting sqref="C36:C46">
    <cfRule type="expression" dxfId="3706" priority="9">
      <formula>$D36&gt;0</formula>
    </cfRule>
  </conditionalFormatting>
  <conditionalFormatting sqref="D36:D37 D39:D46">
    <cfRule type="cellIs" dxfId="3705" priority="35" operator="lessThan">
      <formula>1</formula>
    </cfRule>
  </conditionalFormatting>
  <conditionalFormatting sqref="D38">
    <cfRule type="cellIs" dxfId="3704" priority="30" operator="lessThan">
      <formula>1</formula>
    </cfRule>
  </conditionalFormatting>
  <conditionalFormatting sqref="D9:E9">
    <cfRule type="cellIs" dxfId="3703" priority="32" operator="greaterThan">
      <formula>0</formula>
    </cfRule>
    <cfRule type="cellIs" dxfId="3702" priority="31" operator="lessThan">
      <formula>0</formula>
    </cfRule>
  </conditionalFormatting>
  <conditionalFormatting sqref="F12">
    <cfRule type="cellIs" dxfId="3701" priority="42" operator="greaterThan">
      <formula>2000</formula>
    </cfRule>
    <cfRule type="expression" dxfId="3700" priority="41">
      <formula>ISNUMBER(SEARCH("I-MUAP",$E$14))</formula>
    </cfRule>
    <cfRule type="expression" dxfId="3699" priority="40">
      <formula>AND((ISNUMBER(SEARCH("I-MUAP",$E$14))),F12&lt;2500)</formula>
    </cfRule>
  </conditionalFormatting>
  <conditionalFormatting sqref="F12:G12">
    <cfRule type="cellIs" dxfId="3698" priority="36" operator="lessThan">
      <formula>1000</formula>
    </cfRule>
  </conditionalFormatting>
  <conditionalFormatting sqref="F14:G26">
    <cfRule type="cellIs" dxfId="3697" priority="2" operator="lessThan">
      <formula>1000</formula>
    </cfRule>
  </conditionalFormatting>
  <conditionalFormatting sqref="G12">
    <cfRule type="cellIs" dxfId="3696" priority="37" operator="greaterThan">
      <formula>3001</formula>
    </cfRule>
  </conditionalFormatting>
  <conditionalFormatting sqref="H11">
    <cfRule type="expression" dxfId="3695" priority="39">
      <formula>((G14-50)/I14)&lt;950</formula>
    </cfRule>
  </conditionalFormatting>
  <conditionalFormatting sqref="H12">
    <cfRule type="expression" dxfId="3694" priority="38">
      <formula>((G14-50)/I14)&lt;950</formula>
    </cfRule>
  </conditionalFormatting>
  <conditionalFormatting sqref="H14:H26">
    <cfRule type="cellIs" dxfId="3693" priority="3" operator="lessThan">
      <formula>400</formula>
    </cfRule>
  </conditionalFormatting>
  <conditionalFormatting sqref="H33">
    <cfRule type="expression" dxfId="3692" priority="47">
      <formula>((#REF!-50)/#REF!)&lt;950</formula>
    </cfRule>
  </conditionalFormatting>
  <conditionalFormatting sqref="J14:J30">
    <cfRule type="cellIs" dxfId="3691" priority="15" operator="greaterThan">
      <formula>0</formula>
    </cfRule>
  </conditionalFormatting>
  <conditionalFormatting sqref="J36:J46">
    <cfRule type="expression" dxfId="3690" priority="23">
      <formula>D36&gt;0</formula>
    </cfRule>
  </conditionalFormatting>
  <conditionalFormatting sqref="J48:J54">
    <cfRule type="expression" dxfId="3689" priority="28">
      <formula>#REF!="EURO"</formula>
    </cfRule>
  </conditionalFormatting>
  <conditionalFormatting sqref="K14:K32">
    <cfRule type="cellIs" dxfId="3688" priority="1" operator="greaterThan">
      <formula>0</formula>
    </cfRule>
  </conditionalFormatting>
  <conditionalFormatting sqref="K36:K46">
    <cfRule type="cellIs" dxfId="3687" priority="29" operator="greaterThan">
      <formula>0</formula>
    </cfRule>
  </conditionalFormatting>
  <conditionalFormatting sqref="K48:K54">
    <cfRule type="expression" dxfId="3686" priority="24">
      <formula>$C$9="PLN"</formula>
    </cfRule>
    <cfRule type="expression" dxfId="3685" priority="25">
      <formula>$C$9="CZK"</formula>
    </cfRule>
    <cfRule type="expression" dxfId="3684" priority="26">
      <formula>$C$9="USD"</formula>
    </cfRule>
    <cfRule type="expression" dxfId="3683" priority="27">
      <formula>$C$9="EURO"</formula>
    </cfRule>
  </conditionalFormatting>
  <conditionalFormatting sqref="L14:L32">
    <cfRule type="expression" dxfId="3682" priority="13">
      <formula>$D$9&lt;0</formula>
    </cfRule>
    <cfRule type="expression" dxfId="3681" priority="14">
      <formula>$D$9&gt;0</formula>
    </cfRule>
  </conditionalFormatting>
  <conditionalFormatting sqref="L36:L46">
    <cfRule type="expression" dxfId="3680" priority="12">
      <formula>$D$9&gt;0</formula>
    </cfRule>
    <cfRule type="expression" dxfId="3679" priority="11">
      <formula>$D$9&lt;0</formula>
    </cfRule>
  </conditionalFormatting>
  <conditionalFormatting sqref="N9 N12">
    <cfRule type="expression" dxfId="3678" priority="43">
      <formula>$C$9="PLN"</formula>
    </cfRule>
    <cfRule type="expression" dxfId="3677" priority="44">
      <formula>$C$9="CZK"</formula>
    </cfRule>
    <cfRule type="expression" dxfId="3676" priority="45">
      <formula>$C$9="USD"</formula>
    </cfRule>
    <cfRule type="expression" dxfId="3675" priority="46">
      <formula>$C$9="EURO"</formula>
    </cfRule>
  </conditionalFormatting>
  <conditionalFormatting sqref="N14:N32">
    <cfRule type="expression" dxfId="3674" priority="20">
      <formula>$C$9="EURO"</formula>
    </cfRule>
    <cfRule type="expression" dxfId="3673" priority="19">
      <formula>$C$9="USD"</formula>
    </cfRule>
    <cfRule type="expression" dxfId="3672" priority="18">
      <formula>$C$9="CZK"</formula>
    </cfRule>
    <cfRule type="expression" dxfId="3671" priority="17">
      <formula>$C$9="PLN"</formula>
    </cfRule>
  </conditionalFormatting>
  <conditionalFormatting sqref="N18:N20">
    <cfRule type="cellIs" dxfId="3670" priority="21" operator="greaterThan">
      <formula>0</formula>
    </cfRule>
  </conditionalFormatting>
  <conditionalFormatting sqref="N35:N46">
    <cfRule type="expression" dxfId="3669" priority="8">
      <formula>$C$9="EURO"</formula>
    </cfRule>
    <cfRule type="expression" dxfId="3668" priority="7">
      <formula>$C$9="USD"</formula>
    </cfRule>
    <cfRule type="expression" dxfId="3667" priority="6">
      <formula>$C$9="CZK"</formula>
    </cfRule>
    <cfRule type="expression" dxfId="3666" priority="5">
      <formula>$C$9="PLN"</formula>
    </cfRule>
  </conditionalFormatting>
  <conditionalFormatting sqref="N14:O32">
    <cfRule type="cellIs" dxfId="3665" priority="16" operator="greaterThan">
      <formula>0</formula>
    </cfRule>
  </conditionalFormatting>
  <conditionalFormatting sqref="N36:O46">
    <cfRule type="cellIs" dxfId="3664" priority="4" operator="greaterThan">
      <formula>0</formula>
    </cfRule>
  </conditionalFormatting>
  <conditionalFormatting sqref="O14:O20">
    <cfRule type="cellIs" dxfId="3663" priority="22" operator="greaterThan">
      <formula>0</formula>
    </cfRule>
  </conditionalFormatting>
  <dataValidations count="3">
    <dataValidation type="list" allowBlank="1" showInputMessage="1" showErrorMessage="1" sqref="E14:E32" xr:uid="{00000000-0002-0000-2100-000000000000}">
      <formula1>"0,1,2,3,4,5,6,7,8,9,10,11,12,13,14,15,16,17,18,19,20"</formula1>
    </dataValidation>
    <dataValidation operator="greaterThan" allowBlank="1" showInputMessage="1" showErrorMessage="1" sqref="F14:F26" xr:uid="{00000000-0002-0000-2100-000001000000}"/>
    <dataValidation type="list" allowBlank="1" showInputMessage="1" showErrorMessage="1" sqref="H34" xr:uid="{00000000-0002-0000-21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IF('[5]CANOPY (12)'!G3="","",'[5]CANOPY (12)'!G3)</f>
        <v>#REF!</v>
      </c>
      <c r="I2" s="975"/>
      <c r="J2" s="975"/>
      <c r="K2" s="975"/>
      <c r="L2" s="976"/>
      <c r="M2" s="483" t="s">
        <v>368</v>
      </c>
      <c r="N2" s="974" t="e">
        <f>IF('[5]CANOPY (12)'!C3="","",'[5]CANOPY (12)'!C3)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IF('[5]CANOPY (12)'!G3="","",'[5]CANOPY (12)'!G3)</f>
        <v>#REF!</v>
      </c>
      <c r="I2" s="975"/>
      <c r="J2" s="975"/>
      <c r="K2" s="975"/>
      <c r="L2" s="976"/>
      <c r="M2" s="483" t="s">
        <v>368</v>
      </c>
      <c r="N2" s="974" t="e">
        <f>IF('[5]CANOPY (12)'!C3="","",'[5]CANOPY (12)'!C3)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IF('[5]CANOPY (12)'!G3="","",'[5]CANOPY (12)'!G3)</f>
        <v>#REF!</v>
      </c>
      <c r="I2" s="975"/>
      <c r="J2" s="975"/>
      <c r="K2" s="975"/>
      <c r="L2" s="976"/>
      <c r="M2" s="483" t="s">
        <v>368</v>
      </c>
      <c r="N2" s="974" t="e">
        <f>IF('[5]CANOPY (12)'!C3="","",'[5]CANOPY (12)'!C3)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IF('[5]CANOPY (12)'!C3="","",'[5]CANOPY (12)'!C3)</f>
        <v>#REF!</v>
      </c>
      <c r="D3" s="979"/>
      <c r="E3" s="103" t="s">
        <v>4</v>
      </c>
      <c r="F3" s="935" t="e">
        <f>IF('[5]CANOPY (12)'!G3="","",'[5]CANOPY (12)'!G3)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IF('[5]CANOPY (12)'!C5="","",'[5]CANOPY (12)'!C5)</f>
        <v>#REF!</v>
      </c>
      <c r="D5" s="979"/>
      <c r="E5" s="103" t="s">
        <v>8</v>
      </c>
      <c r="F5" s="935" t="e">
        <f>IF('[5]CANOPY (12)'!G5="","",'[5]CANOPY (12)'!G5)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IF('[5]CANOPY (12)'!C7="","",'[5]CANOPY (12)'!C7)</f>
        <v>#REF!</v>
      </c>
      <c r="D7" s="979"/>
      <c r="E7" s="103" t="s">
        <v>12</v>
      </c>
      <c r="F7" s="939" t="e">
        <f>IF('[5]CANOPY (12)'!G7="","",'[5]CANOPY (12)'!G7)</f>
        <v>#REF!</v>
      </c>
      <c r="G7" s="979"/>
      <c r="H7" s="245"/>
      <c r="J7" s="240" t="s">
        <v>14</v>
      </c>
      <c r="K7" s="787" t="e">
        <f>IF('[5]CANOPY (12)'!O7="","",'[5]CANOPY (12)'!O7)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3662" priority="24">
      <formula>B9="CURRENCY"</formula>
    </cfRule>
    <cfRule type="containsText" dxfId="3661" priority="23" operator="containsText" text="SELECT">
      <formula>NOT(ISERROR(SEARCH("SELECT",B9)))</formula>
    </cfRule>
  </conditionalFormatting>
  <conditionalFormatting sqref="B13:B24">
    <cfRule type="expression" dxfId="3660" priority="6">
      <formula>$C13&gt;0</formula>
    </cfRule>
  </conditionalFormatting>
  <conditionalFormatting sqref="B25:B39">
    <cfRule type="expression" dxfId="3659" priority="5">
      <formula>$C25&gt;0</formula>
    </cfRule>
  </conditionalFormatting>
  <conditionalFormatting sqref="B40:B42">
    <cfRule type="expression" dxfId="3658" priority="4">
      <formula>$C40&gt;0</formula>
    </cfRule>
  </conditionalFormatting>
  <conditionalFormatting sqref="B43:B50">
    <cfRule type="expression" dxfId="3657" priority="1">
      <formula>$C43&gt;0</formula>
    </cfRule>
  </conditionalFormatting>
  <conditionalFormatting sqref="B51:B54">
    <cfRule type="expression" dxfId="3656" priority="3">
      <formula>$C51&gt;0</formula>
    </cfRule>
  </conditionalFormatting>
  <conditionalFormatting sqref="B57:B66">
    <cfRule type="expression" dxfId="3655" priority="2">
      <formula>$C57&gt;0</formula>
    </cfRule>
  </conditionalFormatting>
  <conditionalFormatting sqref="C13:C54">
    <cfRule type="cellIs" dxfId="3654" priority="10" operator="lessThan">
      <formula>1</formula>
    </cfRule>
  </conditionalFormatting>
  <conditionalFormatting sqref="C57:C66">
    <cfRule type="cellIs" dxfId="3653" priority="26" operator="equal">
      <formula>0</formula>
    </cfRule>
  </conditionalFormatting>
  <conditionalFormatting sqref="C9:D9">
    <cfRule type="cellIs" dxfId="3652" priority="20" operator="lessThan">
      <formula>0</formula>
    </cfRule>
    <cfRule type="cellIs" dxfId="3651" priority="21" operator="greaterThan">
      <formula>0</formula>
    </cfRule>
  </conditionalFormatting>
  <conditionalFormatting sqref="F13:F54">
    <cfRule type="expression" dxfId="3650" priority="9">
      <formula>C13&gt;0</formula>
    </cfRule>
  </conditionalFormatting>
  <conditionalFormatting sqref="F57:F66">
    <cfRule type="expression" dxfId="3649" priority="19">
      <formula>C57&gt;0</formula>
    </cfRule>
  </conditionalFormatting>
  <conditionalFormatting sqref="F58:F66">
    <cfRule type="expression" dxfId="3648" priority="25">
      <formula>C58&lt;1</formula>
    </cfRule>
  </conditionalFormatting>
  <conditionalFormatting sqref="G13:G54">
    <cfRule type="cellIs" dxfId="3647" priority="8" operator="greaterThan">
      <formula>0</formula>
    </cfRule>
  </conditionalFormatting>
  <conditionalFormatting sqref="G57:G66">
    <cfRule type="cellIs" dxfId="3646" priority="18" operator="greaterThan">
      <formula>0</formula>
    </cfRule>
  </conditionalFormatting>
  <conditionalFormatting sqref="H13:H54">
    <cfRule type="expression" dxfId="3645" priority="15">
      <formula>$C$9&gt;0</formula>
    </cfRule>
    <cfRule type="expression" dxfId="3644" priority="16">
      <formula>$C$9&lt;0</formula>
    </cfRule>
  </conditionalFormatting>
  <conditionalFormatting sqref="H57:H66">
    <cfRule type="expression" dxfId="3643" priority="32">
      <formula>$C$9&lt;0</formula>
    </cfRule>
    <cfRule type="expression" dxfId="3642" priority="31">
      <formula>$C$9&gt;0</formula>
    </cfRule>
  </conditionalFormatting>
  <conditionalFormatting sqref="J2:J6 J75:J1048576">
    <cfRule type="expression" dxfId="3641" priority="27">
      <formula>$B$9="EURO"</formula>
    </cfRule>
  </conditionalFormatting>
  <conditionalFormatting sqref="J8:J67">
    <cfRule type="expression" dxfId="3640" priority="11">
      <formula>$B$9="EURO"</formula>
    </cfRule>
  </conditionalFormatting>
  <conditionalFormatting sqref="J9 J56:J66">
    <cfRule type="expression" dxfId="3639" priority="28">
      <formula>$B$9="USD"</formula>
    </cfRule>
    <cfRule type="expression" dxfId="3638" priority="29">
      <formula>$B$9="PLN"</formula>
    </cfRule>
    <cfRule type="expression" dxfId="3637" priority="30">
      <formula>$B$9="CZK"</formula>
    </cfRule>
  </conditionalFormatting>
  <conditionalFormatting sqref="J12:J54">
    <cfRule type="expression" dxfId="3636" priority="14">
      <formula>$B$9="CZK"</formula>
    </cfRule>
    <cfRule type="expression" dxfId="3635" priority="13">
      <formula>$B$9="PLN"</formula>
    </cfRule>
    <cfRule type="expression" dxfId="3634" priority="12">
      <formula>$B$9="USD"</formula>
    </cfRule>
  </conditionalFormatting>
  <conditionalFormatting sqref="J68:J74">
    <cfRule type="expression" dxfId="3633" priority="22">
      <formula>$F$10="EURO"</formula>
    </cfRule>
  </conditionalFormatting>
  <conditionalFormatting sqref="J13:K54">
    <cfRule type="cellIs" dxfId="3632" priority="7" operator="greaterThan">
      <formula>0</formula>
    </cfRule>
  </conditionalFormatting>
  <conditionalFormatting sqref="J57:K66">
    <cfRule type="cellIs" dxfId="3631" priority="17" operator="greaterThan">
      <formula>0</formula>
    </cfRule>
  </conditionalFormatting>
  <dataValidations count="1">
    <dataValidation type="list" allowBlank="1" showInputMessage="1" showErrorMessage="1" sqref="D55" xr:uid="{00000000-0002-0000-25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IF('[5]CANOPY (12)'!C3="","",'[5]CANOPY (12)'!C3)</f>
        <v>#REF!</v>
      </c>
      <c r="D3" s="979"/>
      <c r="E3" s="103" t="s">
        <v>4</v>
      </c>
      <c r="F3" s="935" t="e">
        <f>IF('[5]CANOPY (12)'!G3="","",'[5]CANOPY (12)'!G3)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IF('[5]CANOPY (12)'!C5="","",'[5]CANOPY (12)'!C5)</f>
        <v>#REF!</v>
      </c>
      <c r="D5" s="979"/>
      <c r="E5" s="103" t="s">
        <v>8</v>
      </c>
      <c r="F5" s="935" t="e">
        <f>IF('[5]CANOPY (12)'!G5="","",'[5]CANOPY (12)'!G5)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IF('[5]CANOPY (12)'!C7="","",'[5]CANOPY (12)'!C7)</f>
        <v>#REF!</v>
      </c>
      <c r="D7" s="979"/>
      <c r="E7" s="103" t="s">
        <v>12</v>
      </c>
      <c r="F7" s="939" t="e">
        <f>IF('[5]CANOPY (12)'!G7="","",'[5]CANOPY (12)'!G7)</f>
        <v>#REF!</v>
      </c>
      <c r="G7" s="979"/>
      <c r="H7" s="245"/>
      <c r="J7" s="240" t="s">
        <v>14</v>
      </c>
      <c r="K7" s="787" t="e">
        <f>IF('[5]CANOPY (12)'!O7="","",'[5]CANOPY (12)'!O7)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3630" priority="27">
      <formula>B9="CURRENCY"</formula>
    </cfRule>
    <cfRule type="containsText" dxfId="3629" priority="26" operator="containsText" text="SELECT">
      <formula>NOT(ISERROR(SEARCH("SELECT",B9)))</formula>
    </cfRule>
  </conditionalFormatting>
  <conditionalFormatting sqref="B13:B24">
    <cfRule type="expression" dxfId="3628" priority="4">
      <formula>$C13&gt;0</formula>
    </cfRule>
  </conditionalFormatting>
  <conditionalFormatting sqref="B25:B39">
    <cfRule type="expression" dxfId="3627" priority="3">
      <formula>$C25&gt;0</formula>
    </cfRule>
  </conditionalFormatting>
  <conditionalFormatting sqref="B40:B54">
    <cfRule type="expression" dxfId="3626" priority="2">
      <formula>$C40&gt;0</formula>
    </cfRule>
  </conditionalFormatting>
  <conditionalFormatting sqref="B57:B66">
    <cfRule type="expression" dxfId="3625" priority="1">
      <formula>$C57&gt;0</formula>
    </cfRule>
  </conditionalFormatting>
  <conditionalFormatting sqref="C13:C54">
    <cfRule type="cellIs" dxfId="3624" priority="13" operator="lessThan">
      <formula>1</formula>
    </cfRule>
  </conditionalFormatting>
  <conditionalFormatting sqref="C57:C66">
    <cfRule type="cellIs" dxfId="3623" priority="29" operator="equal">
      <formula>0</formula>
    </cfRule>
  </conditionalFormatting>
  <conditionalFormatting sqref="C9:D9">
    <cfRule type="cellIs" dxfId="3622" priority="24" operator="greaterThan">
      <formula>0</formula>
    </cfRule>
    <cfRule type="cellIs" dxfId="3621" priority="23" operator="lessThan">
      <formula>0</formula>
    </cfRule>
  </conditionalFormatting>
  <conditionalFormatting sqref="F13:F54">
    <cfRule type="expression" dxfId="3620" priority="12">
      <formula>C13&gt;0</formula>
    </cfRule>
  </conditionalFormatting>
  <conditionalFormatting sqref="F57:F66">
    <cfRule type="expression" dxfId="3619" priority="22">
      <formula>C57&gt;0</formula>
    </cfRule>
  </conditionalFormatting>
  <conditionalFormatting sqref="F58:F66">
    <cfRule type="expression" dxfId="3618" priority="28">
      <formula>C58&lt;1</formula>
    </cfRule>
  </conditionalFormatting>
  <conditionalFormatting sqref="G13:G54">
    <cfRule type="cellIs" dxfId="3617" priority="11" operator="greaterThan">
      <formula>0</formula>
    </cfRule>
  </conditionalFormatting>
  <conditionalFormatting sqref="G57:G66">
    <cfRule type="cellIs" dxfId="3616" priority="21" operator="greaterThan">
      <formula>0</formula>
    </cfRule>
  </conditionalFormatting>
  <conditionalFormatting sqref="H13:H54">
    <cfRule type="expression" dxfId="3615" priority="18">
      <formula>$C$9&gt;0</formula>
    </cfRule>
    <cfRule type="expression" dxfId="3614" priority="19">
      <formula>$C$9&lt;0</formula>
    </cfRule>
  </conditionalFormatting>
  <conditionalFormatting sqref="H57:H66">
    <cfRule type="expression" dxfId="3613" priority="34">
      <formula>$C$9&gt;0</formula>
    </cfRule>
    <cfRule type="expression" dxfId="3612" priority="35">
      <formula>$C$9&lt;0</formula>
    </cfRule>
  </conditionalFormatting>
  <conditionalFormatting sqref="J2:J6 J75:J1048576">
    <cfRule type="expression" dxfId="3611" priority="30">
      <formula>$B$9="EURO"</formula>
    </cfRule>
  </conditionalFormatting>
  <conditionalFormatting sqref="J8:J67">
    <cfRule type="expression" dxfId="3610" priority="14">
      <formula>$B$9="EURO"</formula>
    </cfRule>
  </conditionalFormatting>
  <conditionalFormatting sqref="J9 J56:J66">
    <cfRule type="expression" dxfId="3609" priority="31">
      <formula>$B$9="USD"</formula>
    </cfRule>
    <cfRule type="expression" dxfId="3608" priority="32">
      <formula>$B$9="PLN"</formula>
    </cfRule>
    <cfRule type="expression" dxfId="3607" priority="33">
      <formula>$B$9="CZK"</formula>
    </cfRule>
  </conditionalFormatting>
  <conditionalFormatting sqref="J12:J54">
    <cfRule type="expression" dxfId="3606" priority="17">
      <formula>$B$9="CZK"</formula>
    </cfRule>
    <cfRule type="expression" dxfId="3605" priority="16">
      <formula>$B$9="PLN"</formula>
    </cfRule>
    <cfRule type="expression" dxfId="3604" priority="15">
      <formula>$B$9="USD"</formula>
    </cfRule>
  </conditionalFormatting>
  <conditionalFormatting sqref="J68:J74">
    <cfRule type="expression" dxfId="3603" priority="25">
      <formula>$F$10="EURO"</formula>
    </cfRule>
  </conditionalFormatting>
  <conditionalFormatting sqref="J13:K54">
    <cfRule type="cellIs" dxfId="3602" priority="10" operator="greaterThan">
      <formula>0</formula>
    </cfRule>
  </conditionalFormatting>
  <conditionalFormatting sqref="J57:K66">
    <cfRule type="cellIs" dxfId="3601" priority="20" operator="greaterThan">
      <formula>0</formula>
    </cfRule>
  </conditionalFormatting>
  <conditionalFormatting sqref="M12:P54">
    <cfRule type="expression" dxfId="3600" priority="9">
      <formula>$B$9="CZK"</formula>
    </cfRule>
    <cfRule type="expression" dxfId="3599" priority="8">
      <formula>$B$9="PLN"</formula>
    </cfRule>
    <cfRule type="expression" dxfId="3598" priority="7">
      <formula>$B$9="USD"</formula>
    </cfRule>
    <cfRule type="expression" dxfId="3597" priority="6">
      <formula>$B$9="EURO"</formula>
    </cfRule>
  </conditionalFormatting>
  <conditionalFormatting sqref="M13:P54">
    <cfRule type="cellIs" dxfId="3596" priority="5" operator="greaterThan">
      <formula>0</formula>
    </cfRule>
  </conditionalFormatting>
  <dataValidations count="3">
    <dataValidation type="list" allowBlank="1" showInputMessage="1" showErrorMessage="1" sqref="D13" xr:uid="{00000000-0002-0000-2600-000000000000}">
      <formula1>FanSize</formula1>
    </dataValidation>
    <dataValidation type="list" allowBlank="1" showInputMessage="1" showErrorMessage="1" sqref="D55" xr:uid="{00000000-0002-0000-2600-000001000000}">
      <formula1>$B$3:$B$15</formula1>
    </dataValidation>
    <dataValidation type="list" allowBlank="1" showInputMessage="1" showErrorMessage="1" sqref="D26" xr:uid="{00000000-0002-0000-26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IF('[5]CANOPY (12)'!C3="","",'[5]CANOPY (12)'!C3)</f>
        <v>#REF!</v>
      </c>
      <c r="D3" s="979"/>
      <c r="E3" s="122" t="s">
        <v>4</v>
      </c>
      <c r="F3" s="987" t="e">
        <f>IF('[5]CANOPY (12)'!G3="","",'[5]CANOPY (12)'!G3)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IF('[5]CANOPY (12)'!C5="","",'[5]CANOPY (12)'!C5)</f>
        <v>#REF!</v>
      </c>
      <c r="D5" s="979"/>
      <c r="E5" s="122" t="s">
        <v>8</v>
      </c>
      <c r="F5" s="987" t="e">
        <f>IF('[5]CANOPY (12)'!G5="","",'[5]CANOPY (12)'!G5)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IF('[5]CANOPY (12)'!C7="","",'[5]CANOPY (12)'!C7)</f>
        <v>#REF!</v>
      </c>
      <c r="D7" s="979"/>
      <c r="E7" s="122" t="s">
        <v>12</v>
      </c>
      <c r="F7" s="989" t="e">
        <f>IF('[5]CANOPY (12)'!G7="","",'[5]CANOPY (12)'!G7)</f>
        <v>#REF!</v>
      </c>
      <c r="G7" s="979"/>
      <c r="H7" s="979"/>
      <c r="J7" s="197" t="s">
        <v>14</v>
      </c>
      <c r="K7" s="484" t="e">
        <f>IF('[5]CANOPY (12)'!O7="","",'[5]CANOPY (12)'!O7)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595" priority="8" operator="containsText" text="SELECT">
      <formula>NOT(ISERROR(SEARCH("SELECT",B10)))</formula>
    </cfRule>
    <cfRule type="expression" dxfId="3594" priority="9">
      <formula>B10="CURRENCY"</formula>
    </cfRule>
  </conditionalFormatting>
  <conditionalFormatting sqref="B14:B41">
    <cfRule type="expression" dxfId="3593" priority="2">
      <formula>$C14&gt;0</formula>
    </cfRule>
  </conditionalFormatting>
  <conditionalFormatting sqref="B44:B55">
    <cfRule type="expression" dxfId="3592" priority="1">
      <formula>$C44&gt;0</formula>
    </cfRule>
  </conditionalFormatting>
  <conditionalFormatting sqref="C14:C41 C44:C55">
    <cfRule type="cellIs" dxfId="3591" priority="12" operator="equal">
      <formula>0</formula>
    </cfRule>
  </conditionalFormatting>
  <conditionalFormatting sqref="C10:D10">
    <cfRule type="cellIs" dxfId="3590" priority="6" operator="lessThan">
      <formula>0</formula>
    </cfRule>
    <cfRule type="cellIs" dxfId="3589" priority="7" operator="greaterThan">
      <formula>0</formula>
    </cfRule>
  </conditionalFormatting>
  <conditionalFormatting sqref="E12:E13">
    <cfRule type="cellIs" dxfId="3588" priority="10" operator="greaterThan">
      <formula>0</formula>
    </cfRule>
    <cfRule type="cellIs" dxfId="3587" priority="11" operator="lessThan">
      <formula>0</formula>
    </cfRule>
  </conditionalFormatting>
  <conditionalFormatting sqref="F14:F41 F44:F55">
    <cfRule type="expression" dxfId="3586" priority="5">
      <formula>C14&gt;0</formula>
    </cfRule>
  </conditionalFormatting>
  <conditionalFormatting sqref="G14:G41 G44:G55">
    <cfRule type="cellIs" dxfId="3585" priority="4" operator="greaterThan">
      <formula>0</formula>
    </cfRule>
  </conditionalFormatting>
  <conditionalFormatting sqref="H14:H41 H44:H55">
    <cfRule type="expression" dxfId="3584" priority="17">
      <formula>$C$10&lt;0</formula>
    </cfRule>
    <cfRule type="expression" dxfId="3583" priority="18">
      <formula>$C$10&gt;0</formula>
    </cfRule>
  </conditionalFormatting>
  <conditionalFormatting sqref="J1:J6 J8:J11 J13:J1048576">
    <cfRule type="expression" dxfId="3582" priority="13">
      <formula>$B$10="EURO"</formula>
    </cfRule>
  </conditionalFormatting>
  <conditionalFormatting sqref="J10 J13:J41 J43:J55">
    <cfRule type="expression" dxfId="3581" priority="14">
      <formula>$B$10="PLN"</formula>
    </cfRule>
    <cfRule type="expression" dxfId="3580" priority="15">
      <formula>$B$10="CZK"</formula>
    </cfRule>
    <cfRule type="expression" dxfId="3579" priority="16">
      <formula>$B$10="USD"</formula>
    </cfRule>
  </conditionalFormatting>
  <conditionalFormatting sqref="J14:K41 J44:K56">
    <cfRule type="cellIs" dxfId="3578" priority="3" operator="greaterThan">
      <formula>0</formula>
    </cfRule>
  </conditionalFormatting>
  <dataValidations count="1">
    <dataValidation type="list" allowBlank="1" showInputMessage="1" showErrorMessage="1" sqref="F12:F13" xr:uid="{00000000-0002-0000-27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IF('[5]CANOPY (12)'!C3="","",'[5]CANOPY (12)'!C3)</f>
        <v>#REF!</v>
      </c>
      <c r="D3" s="990"/>
      <c r="E3" s="129"/>
      <c r="F3" s="132" t="s">
        <v>4</v>
      </c>
      <c r="G3" s="938" t="e">
        <f>IF('[5]CANOPY (12)'!G3="","",'[5]CANOPY (12)'!G3)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IF('[5]CANOPY (12)'!C5="","",'[5]CANOPY (12)'!C5)</f>
        <v>#REF!</v>
      </c>
      <c r="D5" s="990"/>
      <c r="E5" s="131"/>
      <c r="F5" s="132" t="s">
        <v>8</v>
      </c>
      <c r="G5" s="938" t="e">
        <f>IF('[5]CANOPY (12)'!G5="","",'[5]CANOPY (12)'!G5)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IF('[5]CANOPY (12)'!C7="","",'[5]CANOPY (12)'!C7)</f>
        <v>#REF!</v>
      </c>
      <c r="D7" s="990"/>
      <c r="E7" s="135"/>
      <c r="F7" s="136" t="s">
        <v>12</v>
      </c>
      <c r="G7" s="939" t="e">
        <f>IF('[5]CANOPY (12)'!G7="","",'[5]CANOPY (12)'!G7)</f>
        <v>#REF!</v>
      </c>
      <c r="H7" s="990"/>
      <c r="I7" s="51"/>
      <c r="J7" s="280"/>
      <c r="K7" s="280" t="s">
        <v>14</v>
      </c>
      <c r="L7" s="484" t="e">
        <f>IF('[5]CANOPY (12)'!O7="","",'[5]CANOPY (12)'!O7)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3577" priority="26">
      <formula>B9="CURRENCY"</formula>
    </cfRule>
    <cfRule type="containsText" dxfId="3576" priority="25" operator="containsText" text="SELECT">
      <formula>NOT(ISERROR(SEARCH("SELECT",B9)))</formula>
    </cfRule>
  </conditionalFormatting>
  <conditionalFormatting sqref="B15:B29">
    <cfRule type="expression" dxfId="3575" priority="9">
      <formula>$D15&gt;0</formula>
    </cfRule>
  </conditionalFormatting>
  <conditionalFormatting sqref="B49 E49:F49">
    <cfRule type="expression" dxfId="3574" priority="49">
      <formula>C40="select controls"</formula>
    </cfRule>
  </conditionalFormatting>
  <conditionalFormatting sqref="C13">
    <cfRule type="containsText" dxfId="3573" priority="29" operator="containsText" text="SELECT">
      <formula>NOT(ISERROR(SEARCH("SELECT",C13)))</formula>
    </cfRule>
  </conditionalFormatting>
  <conditionalFormatting sqref="C15:C22">
    <cfRule type="containsText" dxfId="3572" priority="15" operator="containsText" text="SIZE">
      <formula>NOT(ISERROR(SEARCH("SIZE",C15)))</formula>
    </cfRule>
  </conditionalFormatting>
  <conditionalFormatting sqref="C25">
    <cfRule type="containsText" dxfId="3571" priority="37" operator="containsText" text="SELECT CONTROLS">
      <formula>NOT(ISERROR(SEARCH("SELECT CONTROLS",C25)))</formula>
    </cfRule>
  </conditionalFormatting>
  <conditionalFormatting sqref="C26">
    <cfRule type="expression" dxfId="3570" priority="32">
      <formula>$C$25="SMARTEC"</formula>
    </cfRule>
    <cfRule type="containsText" dxfId="3569" priority="31" operator="containsText" text="st/st">
      <formula>NOT(ISERROR(SEARCH("st/st",C26)))</formula>
    </cfRule>
  </conditionalFormatting>
  <conditionalFormatting sqref="C31:C32">
    <cfRule type="cellIs" dxfId="3568" priority="20" operator="greaterThan">
      <formula>0</formula>
    </cfRule>
  </conditionalFormatting>
  <conditionalFormatting sqref="C52:C61">
    <cfRule type="cellIs" dxfId="3567" priority="28" operator="lessThan">
      <formula>1</formula>
    </cfRule>
  </conditionalFormatting>
  <conditionalFormatting sqref="C9:D9">
    <cfRule type="cellIs" dxfId="3566" priority="23" operator="lessThan">
      <formula>0</formula>
    </cfRule>
    <cfRule type="cellIs" dxfId="3565" priority="24" operator="greaterThan">
      <formula>0</formula>
    </cfRule>
  </conditionalFormatting>
  <conditionalFormatting sqref="C29:D29">
    <cfRule type="expression" dxfId="3564" priority="36">
      <formula>$C$25="REMOTE TOUCH SCREEN"</formula>
    </cfRule>
    <cfRule type="expression" dxfId="3563" priority="35">
      <formula>$C$25="SMARTEC"</formula>
    </cfRule>
  </conditionalFormatting>
  <conditionalFormatting sqref="D26">
    <cfRule type="expression" dxfId="3562" priority="33">
      <formula>C25="SMARTEC"</formula>
    </cfRule>
    <cfRule type="expression" dxfId="3561" priority="30">
      <formula>C26="st/st enclosure"</formula>
    </cfRule>
  </conditionalFormatting>
  <conditionalFormatting sqref="D29">
    <cfRule type="expression" dxfId="3560" priority="34">
      <formula>$C$25="SMARTEC"</formula>
    </cfRule>
  </conditionalFormatting>
  <conditionalFormatting sqref="D38">
    <cfRule type="expression" dxfId="3559" priority="48">
      <formula>#REF!="SMARTEC"</formula>
    </cfRule>
    <cfRule type="expression" dxfId="3558" priority="47">
      <formula>C38="st/st enclosure"</formula>
    </cfRule>
  </conditionalFormatting>
  <conditionalFormatting sqref="E39:E43">
    <cfRule type="expression" dxfId="3557" priority="46">
      <formula>#REF!="select controls"</formula>
    </cfRule>
  </conditionalFormatting>
  <conditionalFormatting sqref="E44:F45 B45:B48 E46:E47 E48:F48">
    <cfRule type="expression" dxfId="3556" priority="27">
      <formula>C38="select controls"</formula>
    </cfRule>
  </conditionalFormatting>
  <conditionalFormatting sqref="F40">
    <cfRule type="expression" dxfId="3555" priority="1">
      <formula>G34="select controls"</formula>
    </cfRule>
  </conditionalFormatting>
  <conditionalFormatting sqref="G15:G36">
    <cfRule type="cellIs" dxfId="3554" priority="2" operator="greaterThan">
      <formula>0</formula>
    </cfRule>
  </conditionalFormatting>
  <conditionalFormatting sqref="G38:G49">
    <cfRule type="cellIs" dxfId="3553" priority="18" operator="greaterThan">
      <formula>0</formula>
    </cfRule>
  </conditionalFormatting>
  <conditionalFormatting sqref="G52:G61">
    <cfRule type="expression" dxfId="3552" priority="8">
      <formula>C52&gt;0</formula>
    </cfRule>
  </conditionalFormatting>
  <conditionalFormatting sqref="H13 J13 L13">
    <cfRule type="expression" dxfId="3551" priority="38">
      <formula>$B$9="EURO"</formula>
    </cfRule>
  </conditionalFormatting>
  <conditionalFormatting sqref="H15:H61">
    <cfRule type="cellIs" dxfId="3550" priority="19" operator="greaterThan">
      <formula>0</formula>
    </cfRule>
  </conditionalFormatting>
  <conditionalFormatting sqref="I15:I36 I38:I49 I52:I61">
    <cfRule type="expression" dxfId="3549" priority="44">
      <formula>$C$9&lt;0</formula>
    </cfRule>
    <cfRule type="expression" dxfId="3548" priority="43">
      <formula>$C$9&gt;0</formula>
    </cfRule>
  </conditionalFormatting>
  <conditionalFormatting sqref="J37">
    <cfRule type="expression" dxfId="3547" priority="42">
      <formula>$B$9="EURO"</formula>
    </cfRule>
    <cfRule type="expression" dxfId="3546" priority="41">
      <formula>$B$9="USD"</formula>
    </cfRule>
    <cfRule type="expression" dxfId="3545" priority="40">
      <formula>$B$9="CZK"</formula>
    </cfRule>
    <cfRule type="expression" dxfId="3544" priority="39">
      <formula>$B$9="PLN"</formula>
    </cfRule>
  </conditionalFormatting>
  <conditionalFormatting sqref="J63:J69">
    <cfRule type="expression" dxfId="3543" priority="45">
      <formula>#REF!="EURO"</formula>
    </cfRule>
  </conditionalFormatting>
  <conditionalFormatting sqref="K1:K36">
    <cfRule type="expression" dxfId="3542" priority="5">
      <formula>$B$9="USD"</formula>
    </cfRule>
    <cfRule type="expression" dxfId="3541" priority="4">
      <formula>$B$9="EURO"</formula>
    </cfRule>
    <cfRule type="expression" dxfId="3540" priority="6">
      <formula>$B$9="PLN"</formula>
    </cfRule>
  </conditionalFormatting>
  <conditionalFormatting sqref="K1:K1048576">
    <cfRule type="expression" dxfId="3539" priority="7">
      <formula>$B$9="CZK"</formula>
    </cfRule>
  </conditionalFormatting>
  <conditionalFormatting sqref="K15:K36">
    <cfRule type="cellIs" dxfId="3538" priority="3" operator="greaterThan">
      <formula>0</formula>
    </cfRule>
  </conditionalFormatting>
  <conditionalFormatting sqref="K38:K49">
    <cfRule type="cellIs" dxfId="3537" priority="14" operator="greaterThan">
      <formula>0</formula>
    </cfRule>
  </conditionalFormatting>
  <conditionalFormatting sqref="K38:K1048576">
    <cfRule type="expression" dxfId="3536" priority="11">
      <formula>$B$9="EURO"</formula>
    </cfRule>
    <cfRule type="expression" dxfId="3535" priority="12">
      <formula>$B$9="USD"</formula>
    </cfRule>
    <cfRule type="expression" dxfId="3534" priority="13">
      <formula>$B$9="PLN"</formula>
    </cfRule>
  </conditionalFormatting>
  <conditionalFormatting sqref="K50">
    <cfRule type="cellIs" dxfId="3533" priority="22" operator="greaterThan">
      <formula>0</formula>
    </cfRule>
  </conditionalFormatting>
  <conditionalFormatting sqref="K52:K61">
    <cfRule type="cellIs" dxfId="3532" priority="10" operator="greaterThan">
      <formula>0</formula>
    </cfRule>
  </conditionalFormatting>
  <conditionalFormatting sqref="L15:L36 L52:L61">
    <cfRule type="cellIs" dxfId="3531" priority="21" operator="greaterThan">
      <formula>0</formula>
    </cfRule>
  </conditionalFormatting>
  <conditionalFormatting sqref="L38:L49">
    <cfRule type="cellIs" dxfId="3530" priority="17" operator="greaterThan">
      <formula>0</formula>
    </cfRule>
  </conditionalFormatting>
  <conditionalFormatting sqref="U40">
    <cfRule type="cellIs" dxfId="3529"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2800-000000000000}">
      <formula1>#REF!</formula1>
    </dataValidation>
    <dataValidation type="list" allowBlank="1" showInputMessage="1" showErrorMessage="1" sqref="C13" xr:uid="{00000000-0002-0000-2800-000001000000}">
      <formula1>"SELECT MODEL,INTERNAL,EXTERNAL"</formula1>
    </dataValidation>
    <dataValidation type="list" allowBlank="1" showInputMessage="1" showErrorMessage="1" sqref="C25" xr:uid="{00000000-0002-0000-28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IF('[5]CANOPY (12)'!C3="","",'[5]CANOPY (12)'!C3)</f>
        <v>#REF!</v>
      </c>
      <c r="D3" s="990"/>
      <c r="E3" s="129"/>
      <c r="F3" s="132" t="s">
        <v>4</v>
      </c>
      <c r="G3" s="938" t="e">
        <f>IF('[5]CANOPY (12)'!G3="","",'[5]CANOPY (12)'!G3)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IF('[5]CANOPY (12)'!C5="","",'[5]CANOPY (12)'!C5)</f>
        <v>#REF!</v>
      </c>
      <c r="D5" s="990"/>
      <c r="E5" s="131"/>
      <c r="F5" s="132" t="s">
        <v>8</v>
      </c>
      <c r="G5" s="938" t="e">
        <f>IF('[5]CANOPY (12)'!G5="","",'[5]CANOPY (12)'!G5)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IF('[5]CANOPY (12)'!C7="","",'[5]CANOPY (12)'!C7)</f>
        <v>#REF!</v>
      </c>
      <c r="D7" s="990"/>
      <c r="E7" s="135"/>
      <c r="F7" s="136" t="s">
        <v>12</v>
      </c>
      <c r="G7" s="939" t="e">
        <f>IF('[5]CANOPY (12)'!G7="","",'[5]CANOPY (12)'!G7)</f>
        <v>#REF!</v>
      </c>
      <c r="H7" s="990"/>
      <c r="I7" s="51"/>
      <c r="J7" s="280"/>
      <c r="K7" s="280" t="s">
        <v>14</v>
      </c>
      <c r="L7" s="484" t="e">
        <f>IF('[5]CANOPY (12)'!O7="","",'[5]CANOPY (12)'!O7)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3528" priority="30">
      <formula>B9="CURRENCY"</formula>
    </cfRule>
    <cfRule type="containsText" dxfId="3527" priority="29" operator="containsText" text="SELECT">
      <formula>NOT(ISERROR(SEARCH("SELECT",B9)))</formula>
    </cfRule>
  </conditionalFormatting>
  <conditionalFormatting sqref="B15:B30">
    <cfRule type="expression" dxfId="3526" priority="2">
      <formula>$D15&gt;0</formula>
    </cfRule>
  </conditionalFormatting>
  <conditionalFormatting sqref="B50 E50:F50">
    <cfRule type="expression" dxfId="3525" priority="53">
      <formula>C41="select controls"</formula>
    </cfRule>
  </conditionalFormatting>
  <conditionalFormatting sqref="C13">
    <cfRule type="containsText" dxfId="3524" priority="33" operator="containsText" text="SELECT">
      <formula>NOT(ISERROR(SEARCH("SELECT",C13)))</formula>
    </cfRule>
  </conditionalFormatting>
  <conditionalFormatting sqref="C15:C23">
    <cfRule type="containsText" dxfId="3523" priority="8" operator="containsText" text="SIZE">
      <formula>NOT(ISERROR(SEARCH("SIZE",C15)))</formula>
    </cfRule>
  </conditionalFormatting>
  <conditionalFormatting sqref="C26">
    <cfRule type="containsText" dxfId="3522" priority="41" operator="containsText" text="SELECT CONTROLS">
      <formula>NOT(ISERROR(SEARCH("SELECT CONTROLS",C26)))</formula>
    </cfRule>
  </conditionalFormatting>
  <conditionalFormatting sqref="C27">
    <cfRule type="expression" dxfId="3521" priority="36">
      <formula>$C$26="SMARTEC"</formula>
    </cfRule>
    <cfRule type="containsText" dxfId="3520" priority="35" operator="containsText" text="st/st">
      <formula>NOT(ISERROR(SEARCH("st/st",C27)))</formula>
    </cfRule>
  </conditionalFormatting>
  <conditionalFormatting sqref="C32:C33">
    <cfRule type="cellIs" dxfId="3519" priority="24" operator="greaterThan">
      <formula>0</formula>
    </cfRule>
  </conditionalFormatting>
  <conditionalFormatting sqref="C53:C62">
    <cfRule type="cellIs" dxfId="3518" priority="32" operator="lessThan">
      <formula>1</formula>
    </cfRule>
  </conditionalFormatting>
  <conditionalFormatting sqref="C9:D9">
    <cfRule type="cellIs" dxfId="3517" priority="27" operator="lessThan">
      <formula>0</formula>
    </cfRule>
    <cfRule type="cellIs" dxfId="3516" priority="28" operator="greaterThan">
      <formula>0</formula>
    </cfRule>
  </conditionalFormatting>
  <conditionalFormatting sqref="C30:D30">
    <cfRule type="expression" dxfId="3515" priority="40">
      <formula>$C$26="REMOTE TOUCH SCREEN"</formula>
    </cfRule>
    <cfRule type="expression" dxfId="3514" priority="39">
      <formula>$C$26="SMARTEC"</formula>
    </cfRule>
  </conditionalFormatting>
  <conditionalFormatting sqref="D27">
    <cfRule type="expression" dxfId="3513" priority="37">
      <formula>C26="SMARTEC"</formula>
    </cfRule>
    <cfRule type="expression" dxfId="3512" priority="34">
      <formula>C27="st/st enclosure"</formula>
    </cfRule>
  </conditionalFormatting>
  <conditionalFormatting sqref="D30">
    <cfRule type="expression" dxfId="3511" priority="38">
      <formula>$C$26="SMARTEC"</formula>
    </cfRule>
  </conditionalFormatting>
  <conditionalFormatting sqref="D39">
    <cfRule type="expression" dxfId="3510" priority="52">
      <formula>#REF!="SMARTEC"</formula>
    </cfRule>
    <cfRule type="expression" dxfId="3509" priority="51">
      <formula>C39="st/st enclosure"</formula>
    </cfRule>
  </conditionalFormatting>
  <conditionalFormatting sqref="E40:E44">
    <cfRule type="expression" dxfId="3508" priority="50">
      <formula>#REF!="select controls"</formula>
    </cfRule>
  </conditionalFormatting>
  <conditionalFormatting sqref="E45 E46:F46 B46:B47 E47:E48 B49 E49:F49">
    <cfRule type="expression" dxfId="3507" priority="31">
      <formula>C39="select controls"</formula>
    </cfRule>
  </conditionalFormatting>
  <conditionalFormatting sqref="F41:F45">
    <cfRule type="expression" dxfId="3506" priority="1">
      <formula>G35="select controls"</formula>
    </cfRule>
  </conditionalFormatting>
  <conditionalFormatting sqref="G15:G37">
    <cfRule type="cellIs" dxfId="3505" priority="9" operator="greaterThan">
      <formula>0</formula>
    </cfRule>
  </conditionalFormatting>
  <conditionalFormatting sqref="G39:G50">
    <cfRule type="cellIs" dxfId="3504" priority="14" operator="greaterThan">
      <formula>0</formula>
    </cfRule>
  </conditionalFormatting>
  <conditionalFormatting sqref="G53:G62">
    <cfRule type="expression" dxfId="3503" priority="15">
      <formula>C53&gt;0</formula>
    </cfRule>
  </conditionalFormatting>
  <conditionalFormatting sqref="H13 J13 L13">
    <cfRule type="expression" dxfId="3502" priority="42">
      <formula>$B$9="EURO"</formula>
    </cfRule>
  </conditionalFormatting>
  <conditionalFormatting sqref="H23">
    <cfRule type="cellIs" dxfId="3501" priority="11" operator="greaterThan">
      <formula>0</formula>
    </cfRule>
  </conditionalFormatting>
  <conditionalFormatting sqref="H25:H62">
    <cfRule type="cellIs" dxfId="3500" priority="23" operator="greaterThan">
      <formula>0</formula>
    </cfRule>
  </conditionalFormatting>
  <conditionalFormatting sqref="H15:L22 L53:L62">
    <cfRule type="cellIs" dxfId="3499" priority="25" operator="greaterThan">
      <formula>0</formula>
    </cfRule>
  </conditionalFormatting>
  <conditionalFormatting sqref="I15:I37">
    <cfRule type="expression" dxfId="3498" priority="12">
      <formula>$C$9&gt;0</formula>
    </cfRule>
  </conditionalFormatting>
  <conditionalFormatting sqref="I23:I37">
    <cfRule type="expression" dxfId="3497" priority="13">
      <formula>$C$9&lt;0</formula>
    </cfRule>
  </conditionalFormatting>
  <conditionalFormatting sqref="I39:I50 I53:I62 I15:I22">
    <cfRule type="expression" dxfId="3496" priority="48">
      <formula>$C$9&lt;0</formula>
    </cfRule>
  </conditionalFormatting>
  <conditionalFormatting sqref="I39:I50 I53:I62">
    <cfRule type="expression" dxfId="3495" priority="47">
      <formula>$C$9&gt;0</formula>
    </cfRule>
  </conditionalFormatting>
  <conditionalFormatting sqref="J38">
    <cfRule type="expression" dxfId="3494" priority="43">
      <formula>$B$9="PLN"</formula>
    </cfRule>
    <cfRule type="expression" dxfId="3493" priority="44">
      <formula>$B$9="CZK"</formula>
    </cfRule>
    <cfRule type="expression" dxfId="3492" priority="45">
      <formula>$B$9="USD"</formula>
    </cfRule>
    <cfRule type="expression" dxfId="3491" priority="46">
      <formula>$B$9="EURO"</formula>
    </cfRule>
  </conditionalFormatting>
  <conditionalFormatting sqref="J64:J70">
    <cfRule type="expression" dxfId="3490" priority="49">
      <formula>#REF!="EURO"</formula>
    </cfRule>
  </conditionalFormatting>
  <conditionalFormatting sqref="K1:K37">
    <cfRule type="expression" dxfId="3489" priority="5">
      <formula>$B$9="USD"</formula>
    </cfRule>
    <cfRule type="expression" dxfId="3488" priority="4">
      <formula>$B$9="EURO"</formula>
    </cfRule>
    <cfRule type="expression" dxfId="3487" priority="6">
      <formula>$B$9="PLN"</formula>
    </cfRule>
  </conditionalFormatting>
  <conditionalFormatting sqref="K1:K1048576">
    <cfRule type="expression" dxfId="3486" priority="7">
      <formula>$B$9="CZK"</formula>
    </cfRule>
  </conditionalFormatting>
  <conditionalFormatting sqref="K15:K37">
    <cfRule type="cellIs" dxfId="3485" priority="3" operator="greaterThan">
      <formula>0</formula>
    </cfRule>
  </conditionalFormatting>
  <conditionalFormatting sqref="K39:K50">
    <cfRule type="cellIs" dxfId="3484" priority="20" operator="greaterThan">
      <formula>0</formula>
    </cfRule>
  </conditionalFormatting>
  <conditionalFormatting sqref="K39:K1048576">
    <cfRule type="expression" dxfId="3483" priority="19">
      <formula>$B$9="PLN"</formula>
    </cfRule>
    <cfRule type="expression" dxfId="3482" priority="18">
      <formula>$B$9="USD"</formula>
    </cfRule>
    <cfRule type="expression" dxfId="3481" priority="17">
      <formula>$B$9="EURO"</formula>
    </cfRule>
  </conditionalFormatting>
  <conditionalFormatting sqref="K51">
    <cfRule type="cellIs" dxfId="3480" priority="26" operator="greaterThan">
      <formula>0</formula>
    </cfRule>
  </conditionalFormatting>
  <conditionalFormatting sqref="K53:K62">
    <cfRule type="cellIs" dxfId="3479" priority="16" operator="greaterThan">
      <formula>0</formula>
    </cfRule>
  </conditionalFormatting>
  <conditionalFormatting sqref="L23:L37">
    <cfRule type="cellIs" dxfId="3478" priority="10" operator="greaterThan">
      <formula>0</formula>
    </cfRule>
  </conditionalFormatting>
  <conditionalFormatting sqref="L39:L50">
    <cfRule type="cellIs" dxfId="3477" priority="22" operator="greaterThan">
      <formula>0</formula>
    </cfRule>
  </conditionalFormatting>
  <conditionalFormatting sqref="T41">
    <cfRule type="cellIs" dxfId="3476" priority="21" operator="greaterThan">
      <formula>0</formula>
    </cfRule>
  </conditionalFormatting>
  <dataValidations count="3">
    <dataValidation type="list" allowBlank="1" showInputMessage="1" showErrorMessage="1" sqref="C26" xr:uid="{00000000-0002-0000-2900-000000000000}">
      <formula1>"SELECT CONTROLS,SMARTEC, REMOTE TOUCH SCREEN"</formula1>
    </dataValidation>
    <dataValidation type="list" allowBlank="1" showInputMessage="1" showErrorMessage="1" sqref="C13" xr:uid="{00000000-0002-0000-29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29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IF('[5]CANOPY (12)'!C3="","",'[5]CANOPY (12)'!C3)</f>
        <v>#REF!</v>
      </c>
      <c r="E3" s="934"/>
      <c r="G3" s="71" t="s">
        <v>4</v>
      </c>
      <c r="H3" s="935" t="e">
        <f>IF('[5]CANOPY (12)'!G3="","",'[5]CANOPY (12)'!G3)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IF('[5]CANOPY (12)'!C5="","",'[5]CANOPY (12)'!C5)</f>
        <v>#REF!</v>
      </c>
      <c r="E5" s="934"/>
      <c r="G5" s="71" t="s">
        <v>8</v>
      </c>
      <c r="H5" s="935" t="e">
        <f>IF('[5]CANOPY (12)'!G5="","",'[5]CANOPY (12)'!G5)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IF('[5]CANOPY (12)'!C7="","",'[5]CANOPY (12)'!C7)</f>
        <v>#REF!</v>
      </c>
      <c r="E7" s="934"/>
      <c r="G7" s="71" t="s">
        <v>12</v>
      </c>
      <c r="H7" s="939" t="e">
        <f>IF('[5]CANOPY (12)'!G7="","",'[5]CANOPY (12)'!G7)</f>
        <v>#REF!</v>
      </c>
      <c r="I7" s="936"/>
      <c r="J7" s="937"/>
      <c r="N7" s="266" t="s">
        <v>14</v>
      </c>
      <c r="O7" s="787" t="e">
        <f>IF('[5]CANOPY (12)'!O7="","",'[5]CANOPY (12)'!O7)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3475" priority="26">
      <formula>C9="CURRENCY"</formula>
    </cfRule>
    <cfRule type="containsText" dxfId="3474" priority="25" operator="containsText" text="SELECT">
      <formula>NOT(ISERROR(SEARCH("SELECT",C9)))</formula>
    </cfRule>
  </conditionalFormatting>
  <conditionalFormatting sqref="C14:C23">
    <cfRule type="expression" dxfId="3473" priority="1">
      <formula>$J14&gt;0</formula>
    </cfRule>
  </conditionalFormatting>
  <conditionalFormatting sqref="C27:C37">
    <cfRule type="expression" dxfId="3472" priority="10">
      <formula>$D27&gt;0</formula>
    </cfRule>
  </conditionalFormatting>
  <conditionalFormatting sqref="D27:D28 D30:D37">
    <cfRule type="cellIs" dxfId="3471" priority="27" operator="lessThan">
      <formula>1</formula>
    </cfRule>
  </conditionalFormatting>
  <conditionalFormatting sqref="D29">
    <cfRule type="cellIs" dxfId="3470" priority="22" operator="lessThan">
      <formula>1</formula>
    </cfRule>
  </conditionalFormatting>
  <conditionalFormatting sqref="D9:E9">
    <cfRule type="cellIs" dxfId="3469" priority="23" operator="lessThan">
      <formula>0</formula>
    </cfRule>
    <cfRule type="cellIs" dxfId="3468" priority="24" operator="greaterThan">
      <formula>0</formula>
    </cfRule>
  </conditionalFormatting>
  <conditionalFormatting sqref="F12">
    <cfRule type="cellIs" dxfId="3467" priority="37" operator="greaterThan">
      <formula>2000</formula>
    </cfRule>
    <cfRule type="expression" dxfId="3466" priority="36">
      <formula>ISNUMBER(SEARCH("I-MUAP",#REF!))</formula>
    </cfRule>
    <cfRule type="expression" dxfId="3465" priority="35">
      <formula>AND((ISNUMBER(SEARCH("I-MUAP",#REF!))),F12&lt;2500)</formula>
    </cfRule>
  </conditionalFormatting>
  <conditionalFormatting sqref="F12:G12">
    <cfRule type="cellIs" dxfId="3464" priority="28" operator="lessThan">
      <formula>1000</formula>
    </cfRule>
  </conditionalFormatting>
  <conditionalFormatting sqref="F14:G19">
    <cfRule type="cellIs" dxfId="3463" priority="3" operator="lessThan">
      <formula>1000</formula>
    </cfRule>
  </conditionalFormatting>
  <conditionalFormatting sqref="G12">
    <cfRule type="cellIs" dxfId="3462" priority="29" operator="greaterThan">
      <formula>3001</formula>
    </cfRule>
  </conditionalFormatting>
  <conditionalFormatting sqref="H11">
    <cfRule type="expression" dxfId="3461" priority="38">
      <formula>((#REF!-50)/#REF!)&lt;950</formula>
    </cfRule>
  </conditionalFormatting>
  <conditionalFormatting sqref="H12">
    <cfRule type="expression" dxfId="3460" priority="39">
      <formula>((#REF!-50)/#REF!)&lt;950</formula>
    </cfRule>
  </conditionalFormatting>
  <conditionalFormatting sqref="H14:H19">
    <cfRule type="cellIs" dxfId="3459" priority="4" operator="lessThan">
      <formula>400</formula>
    </cfRule>
  </conditionalFormatting>
  <conditionalFormatting sqref="H24">
    <cfRule type="expression" dxfId="3458" priority="34">
      <formula>((#REF!-50)/#REF!)&lt;950</formula>
    </cfRule>
  </conditionalFormatting>
  <conditionalFormatting sqref="J14:J21">
    <cfRule type="cellIs" dxfId="3457" priority="15" operator="greaterThan">
      <formula>0</formula>
    </cfRule>
  </conditionalFormatting>
  <conditionalFormatting sqref="J27:J37">
    <cfRule type="expression" dxfId="3456" priority="16">
      <formula>D27&gt;0</formula>
    </cfRule>
  </conditionalFormatting>
  <conditionalFormatting sqref="J39:J45">
    <cfRule type="expression" dxfId="3455" priority="44">
      <formula>#REF!="EURO"</formula>
    </cfRule>
  </conditionalFormatting>
  <conditionalFormatting sqref="K14:K23 N14:O23">
    <cfRule type="cellIs" dxfId="3454" priority="2" operator="greaterThan">
      <formula>0</formula>
    </cfRule>
  </conditionalFormatting>
  <conditionalFormatting sqref="K27:K37">
    <cfRule type="cellIs" dxfId="3453" priority="21" operator="greaterThan">
      <formula>0</formula>
    </cfRule>
  </conditionalFormatting>
  <conditionalFormatting sqref="K39:K45">
    <cfRule type="expression" dxfId="3452" priority="40">
      <formula>$C$9="PLN"</formula>
    </cfRule>
    <cfRule type="expression" dxfId="3451" priority="41">
      <formula>$C$9="CZK"</formula>
    </cfRule>
    <cfRule type="expression" dxfId="3450" priority="42">
      <formula>$C$9="USD"</formula>
    </cfRule>
    <cfRule type="expression" dxfId="3449" priority="43">
      <formula>$C$9="EURO"</formula>
    </cfRule>
  </conditionalFormatting>
  <conditionalFormatting sqref="L14:L23">
    <cfRule type="expression" dxfId="3448" priority="14">
      <formula>$D$9&gt;0</formula>
    </cfRule>
    <cfRule type="expression" dxfId="3447" priority="13">
      <formula>$D$9&lt;0</formula>
    </cfRule>
  </conditionalFormatting>
  <conditionalFormatting sqref="L27:L37">
    <cfRule type="expression" dxfId="3446" priority="12">
      <formula>$D$9&gt;0</formula>
    </cfRule>
    <cfRule type="expression" dxfId="3445" priority="11">
      <formula>$D$9&lt;0</formula>
    </cfRule>
  </conditionalFormatting>
  <conditionalFormatting sqref="N9 N12">
    <cfRule type="expression" dxfId="3444" priority="30">
      <formula>$C$9="PLN"</formula>
    </cfRule>
    <cfRule type="expression" dxfId="3443" priority="31">
      <formula>$C$9="CZK"</formula>
    </cfRule>
    <cfRule type="expression" dxfId="3442" priority="32">
      <formula>$C$9="USD"</formula>
    </cfRule>
    <cfRule type="expression" dxfId="3441" priority="33">
      <formula>$C$9="EURO"</formula>
    </cfRule>
  </conditionalFormatting>
  <conditionalFormatting sqref="N14:N23">
    <cfRule type="expression" dxfId="3440" priority="20">
      <formula>$C$9="EURO"</formula>
    </cfRule>
    <cfRule type="expression" dxfId="3439" priority="19">
      <formula>$C$9="USD"</formula>
    </cfRule>
    <cfRule type="expression" dxfId="3438" priority="18">
      <formula>$C$9="CZK"</formula>
    </cfRule>
    <cfRule type="expression" dxfId="3437" priority="17">
      <formula>$C$9="PLN"</formula>
    </cfRule>
  </conditionalFormatting>
  <conditionalFormatting sqref="N26:N37">
    <cfRule type="expression" dxfId="3436" priority="6">
      <formula>$C$9="PLN"</formula>
    </cfRule>
    <cfRule type="expression" dxfId="3435" priority="7">
      <formula>$C$9="CZK"</formula>
    </cfRule>
    <cfRule type="expression" dxfId="3434" priority="9">
      <formula>$C$9="EURO"</formula>
    </cfRule>
    <cfRule type="expression" dxfId="3433" priority="8">
      <formula>$C$9="USD"</formula>
    </cfRule>
  </conditionalFormatting>
  <conditionalFormatting sqref="N27:O37">
    <cfRule type="cellIs" dxfId="3432" priority="5" operator="greaterThan">
      <formula>0</formula>
    </cfRule>
  </conditionalFormatting>
  <dataValidations count="3">
    <dataValidation operator="greaterThan" allowBlank="1" showInputMessage="1" showErrorMessage="1" sqref="F14:F19" xr:uid="{00000000-0002-0000-2A00-000000000000}"/>
    <dataValidation type="list" allowBlank="1" showInputMessage="1" showErrorMessage="1" sqref="E14:E23" xr:uid="{00000000-0002-0000-2A00-000001000000}">
      <formula1>"0,1,2,3,4,5,6,7,8,9,10,11,12,13,14,15,16,17,18,19,20"</formula1>
    </dataValidation>
    <dataValidation type="list" allowBlank="1" showInputMessage="1" showErrorMessage="1" sqref="H25" xr:uid="{00000000-0002-0000-2A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IF('[5]CANOPY (12)'!C3="","",'[5]CANOPY (12)'!C3)</f>
        <v>#REF!</v>
      </c>
      <c r="E3" s="934"/>
      <c r="G3" s="71" t="s">
        <v>4</v>
      </c>
      <c r="H3" s="935" t="e">
        <f>IF('[5]CANOPY (12)'!G3="","",'[5]CANOPY (12)'!G3)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IF('[5]CANOPY (12)'!C5="","",'[5]CANOPY (12)'!C5)</f>
        <v>#REF!</v>
      </c>
      <c r="E5" s="934"/>
      <c r="G5" s="71" t="s">
        <v>8</v>
      </c>
      <c r="H5" s="935" t="e">
        <f>IF('[5]CANOPY (12)'!G5="","",'[5]CANOPY (12)'!G5)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IF('[5]CANOPY (12)'!C7="","",'[5]CANOPY (12)'!C7)</f>
        <v>#REF!</v>
      </c>
      <c r="E7" s="934"/>
      <c r="G7" s="71" t="s">
        <v>12</v>
      </c>
      <c r="H7" s="939" t="e">
        <f>IF('[5]CANOPY (12)'!G7="","",'[5]CANOPY (12)'!G7)</f>
        <v>#REF!</v>
      </c>
      <c r="I7" s="936"/>
      <c r="J7" s="937"/>
      <c r="N7" s="266" t="s">
        <v>14</v>
      </c>
      <c r="O7" s="787" t="e">
        <f>IF('[5]CANOPY (12)'!O7="","",'[5]CANOPY (12)'!O7)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431" priority="34">
      <formula>C9="CURRENCY"</formula>
    </cfRule>
    <cfRule type="containsText" dxfId="3430" priority="33" operator="containsText" text="SELECT">
      <formula>NOT(ISERROR(SEARCH("SELECT",C9)))</formula>
    </cfRule>
  </conditionalFormatting>
  <conditionalFormatting sqref="C14:C32">
    <cfRule type="expression" dxfId="3429" priority="10">
      <formula>$J14&gt;0</formula>
    </cfRule>
  </conditionalFormatting>
  <conditionalFormatting sqref="C36:C46">
    <cfRule type="expression" dxfId="3428" priority="9">
      <formula>$D36&gt;0</formula>
    </cfRule>
  </conditionalFormatting>
  <conditionalFormatting sqref="D36:D37 D39:D46">
    <cfRule type="cellIs" dxfId="3427" priority="35" operator="lessThan">
      <formula>1</formula>
    </cfRule>
  </conditionalFormatting>
  <conditionalFormatting sqref="D38">
    <cfRule type="cellIs" dxfId="3426" priority="30" operator="lessThan">
      <formula>1</formula>
    </cfRule>
  </conditionalFormatting>
  <conditionalFormatting sqref="D9:E9">
    <cfRule type="cellIs" dxfId="3425" priority="32" operator="greaterThan">
      <formula>0</formula>
    </cfRule>
    <cfRule type="cellIs" dxfId="3424" priority="31" operator="lessThan">
      <formula>0</formula>
    </cfRule>
  </conditionalFormatting>
  <conditionalFormatting sqref="F12">
    <cfRule type="cellIs" dxfId="3423" priority="42" operator="greaterThan">
      <formula>2000</formula>
    </cfRule>
    <cfRule type="expression" dxfId="3422" priority="41">
      <formula>ISNUMBER(SEARCH("I-MUAP",$E$14))</formula>
    </cfRule>
    <cfRule type="expression" dxfId="3421" priority="40">
      <formula>AND((ISNUMBER(SEARCH("I-MUAP",$E$14))),F12&lt;2500)</formula>
    </cfRule>
  </conditionalFormatting>
  <conditionalFormatting sqref="F12:G12">
    <cfRule type="cellIs" dxfId="3420" priority="36" operator="lessThan">
      <formula>1000</formula>
    </cfRule>
  </conditionalFormatting>
  <conditionalFormatting sqref="F14:G26">
    <cfRule type="cellIs" dxfId="3419" priority="2" operator="lessThan">
      <formula>1000</formula>
    </cfRule>
  </conditionalFormatting>
  <conditionalFormatting sqref="G12">
    <cfRule type="cellIs" dxfId="3418" priority="37" operator="greaterThan">
      <formula>3001</formula>
    </cfRule>
  </conditionalFormatting>
  <conditionalFormatting sqref="H11">
    <cfRule type="expression" dxfId="3417" priority="39">
      <formula>((G14-50)/I14)&lt;950</formula>
    </cfRule>
  </conditionalFormatting>
  <conditionalFormatting sqref="H12">
    <cfRule type="expression" dxfId="3416" priority="38">
      <formula>((G14-50)/I14)&lt;950</formula>
    </cfRule>
  </conditionalFormatting>
  <conditionalFormatting sqref="H14:H26">
    <cfRule type="cellIs" dxfId="3415" priority="3" operator="lessThan">
      <formula>400</formula>
    </cfRule>
  </conditionalFormatting>
  <conditionalFormatting sqref="H33">
    <cfRule type="expression" dxfId="3414" priority="47">
      <formula>((#REF!-50)/#REF!)&lt;950</formula>
    </cfRule>
  </conditionalFormatting>
  <conditionalFormatting sqref="J14:J30">
    <cfRule type="cellIs" dxfId="3413" priority="15" operator="greaterThan">
      <formula>0</formula>
    </cfRule>
  </conditionalFormatting>
  <conditionalFormatting sqref="J36:J46">
    <cfRule type="expression" dxfId="3412" priority="23">
      <formula>D36&gt;0</formula>
    </cfRule>
  </conditionalFormatting>
  <conditionalFormatting sqref="J48:J54">
    <cfRule type="expression" dxfId="3411" priority="28">
      <formula>#REF!="EURO"</formula>
    </cfRule>
  </conditionalFormatting>
  <conditionalFormatting sqref="K14:K32">
    <cfRule type="cellIs" dxfId="3410" priority="1" operator="greaterThan">
      <formula>0</formula>
    </cfRule>
  </conditionalFormatting>
  <conditionalFormatting sqref="K36:K46">
    <cfRule type="cellIs" dxfId="3409" priority="29" operator="greaterThan">
      <formula>0</formula>
    </cfRule>
  </conditionalFormatting>
  <conditionalFormatting sqref="K48:K54">
    <cfRule type="expression" dxfId="3408" priority="24">
      <formula>$C$9="PLN"</formula>
    </cfRule>
    <cfRule type="expression" dxfId="3407" priority="25">
      <formula>$C$9="CZK"</formula>
    </cfRule>
    <cfRule type="expression" dxfId="3406" priority="26">
      <formula>$C$9="USD"</formula>
    </cfRule>
    <cfRule type="expression" dxfId="3405" priority="27">
      <formula>$C$9="EURO"</formula>
    </cfRule>
  </conditionalFormatting>
  <conditionalFormatting sqref="L14:L32">
    <cfRule type="expression" dxfId="3404" priority="13">
      <formula>$D$9&lt;0</formula>
    </cfRule>
    <cfRule type="expression" dxfId="3403" priority="14">
      <formula>$D$9&gt;0</formula>
    </cfRule>
  </conditionalFormatting>
  <conditionalFormatting sqref="L36:L46">
    <cfRule type="expression" dxfId="3402" priority="12">
      <formula>$D$9&gt;0</formula>
    </cfRule>
    <cfRule type="expression" dxfId="3401" priority="11">
      <formula>$D$9&lt;0</formula>
    </cfRule>
  </conditionalFormatting>
  <conditionalFormatting sqref="N9 N12">
    <cfRule type="expression" dxfId="3400" priority="43">
      <formula>$C$9="PLN"</formula>
    </cfRule>
    <cfRule type="expression" dxfId="3399" priority="44">
      <formula>$C$9="CZK"</formula>
    </cfRule>
    <cfRule type="expression" dxfId="3398" priority="45">
      <formula>$C$9="USD"</formula>
    </cfRule>
    <cfRule type="expression" dxfId="3397" priority="46">
      <formula>$C$9="EURO"</formula>
    </cfRule>
  </conditionalFormatting>
  <conditionalFormatting sqref="N14:N32">
    <cfRule type="expression" dxfId="3396" priority="20">
      <formula>$C$9="EURO"</formula>
    </cfRule>
    <cfRule type="expression" dxfId="3395" priority="19">
      <formula>$C$9="USD"</formula>
    </cfRule>
    <cfRule type="expression" dxfId="3394" priority="18">
      <formula>$C$9="CZK"</formula>
    </cfRule>
    <cfRule type="expression" dxfId="3393" priority="17">
      <formula>$C$9="PLN"</formula>
    </cfRule>
  </conditionalFormatting>
  <conditionalFormatting sqref="N18:N20">
    <cfRule type="cellIs" dxfId="3392" priority="21" operator="greaterThan">
      <formula>0</formula>
    </cfRule>
  </conditionalFormatting>
  <conditionalFormatting sqref="N35:N46">
    <cfRule type="expression" dxfId="3391" priority="8">
      <formula>$C$9="EURO"</formula>
    </cfRule>
    <cfRule type="expression" dxfId="3390" priority="7">
      <formula>$C$9="USD"</formula>
    </cfRule>
    <cfRule type="expression" dxfId="3389" priority="6">
      <formula>$C$9="CZK"</formula>
    </cfRule>
    <cfRule type="expression" dxfId="3388" priority="5">
      <formula>$C$9="PLN"</formula>
    </cfRule>
  </conditionalFormatting>
  <conditionalFormatting sqref="N14:O32">
    <cfRule type="cellIs" dxfId="3387" priority="16" operator="greaterThan">
      <formula>0</formula>
    </cfRule>
  </conditionalFormatting>
  <conditionalFormatting sqref="N36:O46">
    <cfRule type="cellIs" dxfId="3386" priority="4" operator="greaterThan">
      <formula>0</formula>
    </cfRule>
  </conditionalFormatting>
  <conditionalFormatting sqref="O14:O20">
    <cfRule type="cellIs" dxfId="3385" priority="22" operator="greaterThan">
      <formula>0</formula>
    </cfRule>
  </conditionalFormatting>
  <dataValidations count="3">
    <dataValidation type="list" allowBlank="1" showInputMessage="1" showErrorMessage="1" sqref="H34" xr:uid="{00000000-0002-0000-2B00-000000000000}">
      <formula1>#REF!</formula1>
    </dataValidation>
    <dataValidation operator="greaterThan" allowBlank="1" showInputMessage="1" showErrorMessage="1" sqref="F14:F26" xr:uid="{00000000-0002-0000-2B00-000001000000}"/>
    <dataValidation type="list" allowBlank="1" showInputMessage="1" showErrorMessage="1" sqref="E14:E32" xr:uid="{00000000-0002-0000-2B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IF('[6]CANOPY (13)'!G3="","",'[6]CANOPY (13)'!G3)</f>
        <v>#REF!</v>
      </c>
      <c r="I2" s="975"/>
      <c r="J2" s="975"/>
      <c r="K2" s="975"/>
      <c r="L2" s="976"/>
      <c r="M2" s="483" t="s">
        <v>368</v>
      </c>
      <c r="N2" s="974" t="e">
        <f>IF('[6]CANOPY (13)'!C3="","",'[6]CANOPY (13)'!C3)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IF('[6]CANOPY (13)'!G3="","",'[6]CANOPY (13)'!G3)</f>
        <v>#REF!</v>
      </c>
      <c r="I2" s="975"/>
      <c r="J2" s="975"/>
      <c r="K2" s="975"/>
      <c r="L2" s="976"/>
      <c r="M2" s="483" t="s">
        <v>368</v>
      </c>
      <c r="N2" s="974" t="e">
        <f>IF('[6]CANOPY (13)'!C3="","",'[6]CANOPY (13)'!C3)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IF('[6]CANOPY (13)'!G3="","",'[6]CANOPY (13)'!G3)</f>
        <v>#REF!</v>
      </c>
      <c r="I2" s="975"/>
      <c r="J2" s="975"/>
      <c r="K2" s="975"/>
      <c r="L2" s="976"/>
      <c r="M2" s="483" t="s">
        <v>368</v>
      </c>
      <c r="N2" s="974" t="e">
        <f>IF('[6]CANOPY (13)'!C3="","",'[6]CANOPY (13)'!C3)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IF('[6]CANOPY (13)'!G3="","",'[6]CANOPY (13)'!G3)</f>
        <v>#REF!</v>
      </c>
      <c r="I2" s="975"/>
      <c r="J2" s="975"/>
      <c r="K2" s="975"/>
      <c r="L2" s="976"/>
      <c r="M2" s="483" t="s">
        <v>368</v>
      </c>
      <c r="N2" s="974" t="e">
        <f>IF('[6]CANOPY (13)'!C3="","",'[6]CANOPY (13)'!C3)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IF('[6]CANOPY (13)'!C3="","",'[6]CANOPY (13)'!C3)</f>
        <v>#REF!</v>
      </c>
      <c r="D3" s="979"/>
      <c r="E3" s="103" t="s">
        <v>4</v>
      </c>
      <c r="F3" s="935" t="e">
        <f>IF('[6]CANOPY (13)'!G3="","",'[6]CANOPY (13)'!G3)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IF('[6]CANOPY (13)'!C5="","",'[6]CANOPY (13)'!C5)</f>
        <v>#REF!</v>
      </c>
      <c r="D5" s="979"/>
      <c r="E5" s="103" t="s">
        <v>8</v>
      </c>
      <c r="F5" s="935" t="e">
        <f>IF('[6]CANOPY (13)'!G5="","",'[6]CANOPY (13)'!G5)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IF('[6]CANOPY (13)'!C7="","",'[6]CANOPY (13)'!C7)</f>
        <v>#REF!</v>
      </c>
      <c r="D7" s="979"/>
      <c r="E7" s="103" t="s">
        <v>12</v>
      </c>
      <c r="F7" s="939" t="e">
        <f>IF('[6]CANOPY (13)'!G7="","",'[6]CANOPY (13)'!G7)</f>
        <v>#REF!</v>
      </c>
      <c r="G7" s="979"/>
      <c r="H7" s="245"/>
      <c r="J7" s="240" t="s">
        <v>14</v>
      </c>
      <c r="K7" s="787" t="e">
        <f>IF('[6]CANOPY (13)'!O7="","",'[6]CANOPY (13)'!O7)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3384" priority="24">
      <formula>B9="CURRENCY"</formula>
    </cfRule>
    <cfRule type="containsText" dxfId="3383" priority="23" operator="containsText" text="SELECT">
      <formula>NOT(ISERROR(SEARCH("SELECT",B9)))</formula>
    </cfRule>
  </conditionalFormatting>
  <conditionalFormatting sqref="B13:B24">
    <cfRule type="expression" dxfId="3382" priority="6">
      <formula>$C13&gt;0</formula>
    </cfRule>
  </conditionalFormatting>
  <conditionalFormatting sqref="B25:B39">
    <cfRule type="expression" dxfId="3381" priority="5">
      <formula>$C25&gt;0</formula>
    </cfRule>
  </conditionalFormatting>
  <conditionalFormatting sqref="B40:B42">
    <cfRule type="expression" dxfId="3380" priority="4">
      <formula>$C40&gt;0</formula>
    </cfRule>
  </conditionalFormatting>
  <conditionalFormatting sqref="B43:B50">
    <cfRule type="expression" dxfId="3379" priority="1">
      <formula>$C43&gt;0</formula>
    </cfRule>
  </conditionalFormatting>
  <conditionalFormatting sqref="B51:B54">
    <cfRule type="expression" dxfId="3378" priority="3">
      <formula>$C51&gt;0</formula>
    </cfRule>
  </conditionalFormatting>
  <conditionalFormatting sqref="B57:B66">
    <cfRule type="expression" dxfId="3377" priority="2">
      <formula>$C57&gt;0</formula>
    </cfRule>
  </conditionalFormatting>
  <conditionalFormatting sqref="C13:C54">
    <cfRule type="cellIs" dxfId="3376" priority="10" operator="lessThan">
      <formula>1</formula>
    </cfRule>
  </conditionalFormatting>
  <conditionalFormatting sqref="C57:C66">
    <cfRule type="cellIs" dxfId="3375" priority="26" operator="equal">
      <formula>0</formula>
    </cfRule>
  </conditionalFormatting>
  <conditionalFormatting sqref="C9:D9">
    <cfRule type="cellIs" dxfId="3374" priority="20" operator="lessThan">
      <formula>0</formula>
    </cfRule>
    <cfRule type="cellIs" dxfId="3373" priority="21" operator="greaterThan">
      <formula>0</formula>
    </cfRule>
  </conditionalFormatting>
  <conditionalFormatting sqref="F13:F54">
    <cfRule type="expression" dxfId="3372" priority="9">
      <formula>C13&gt;0</formula>
    </cfRule>
  </conditionalFormatting>
  <conditionalFormatting sqref="F57:F66">
    <cfRule type="expression" dxfId="3371" priority="19">
      <formula>C57&gt;0</formula>
    </cfRule>
  </conditionalFormatting>
  <conditionalFormatting sqref="F58:F66">
    <cfRule type="expression" dxfId="3370" priority="25">
      <formula>C58&lt;1</formula>
    </cfRule>
  </conditionalFormatting>
  <conditionalFormatting sqref="G13:G54">
    <cfRule type="cellIs" dxfId="3369" priority="8" operator="greaterThan">
      <formula>0</formula>
    </cfRule>
  </conditionalFormatting>
  <conditionalFormatting sqref="G57:G66">
    <cfRule type="cellIs" dxfId="3368" priority="18" operator="greaterThan">
      <formula>0</formula>
    </cfRule>
  </conditionalFormatting>
  <conditionalFormatting sqref="H13:H54">
    <cfRule type="expression" dxfId="3367" priority="15">
      <formula>$C$9&gt;0</formula>
    </cfRule>
    <cfRule type="expression" dxfId="3366" priority="16">
      <formula>$C$9&lt;0</formula>
    </cfRule>
  </conditionalFormatting>
  <conditionalFormatting sqref="H57:H66">
    <cfRule type="expression" dxfId="3365" priority="32">
      <formula>$C$9&lt;0</formula>
    </cfRule>
    <cfRule type="expression" dxfId="3364" priority="31">
      <formula>$C$9&gt;0</formula>
    </cfRule>
  </conditionalFormatting>
  <conditionalFormatting sqref="J2:J6 J75:J1048576">
    <cfRule type="expression" dxfId="3363" priority="27">
      <formula>$B$9="EURO"</formula>
    </cfRule>
  </conditionalFormatting>
  <conditionalFormatting sqref="J8:J67">
    <cfRule type="expression" dxfId="3362" priority="11">
      <formula>$B$9="EURO"</formula>
    </cfRule>
  </conditionalFormatting>
  <conditionalFormatting sqref="J9 J56:J66">
    <cfRule type="expression" dxfId="3361" priority="28">
      <formula>$B$9="USD"</formula>
    </cfRule>
    <cfRule type="expression" dxfId="3360" priority="29">
      <formula>$B$9="PLN"</formula>
    </cfRule>
    <cfRule type="expression" dxfId="3359" priority="30">
      <formula>$B$9="CZK"</formula>
    </cfRule>
  </conditionalFormatting>
  <conditionalFormatting sqref="J12:J54">
    <cfRule type="expression" dxfId="3358" priority="14">
      <formula>$B$9="CZK"</formula>
    </cfRule>
    <cfRule type="expression" dxfId="3357" priority="13">
      <formula>$B$9="PLN"</formula>
    </cfRule>
    <cfRule type="expression" dxfId="3356" priority="12">
      <formula>$B$9="USD"</formula>
    </cfRule>
  </conditionalFormatting>
  <conditionalFormatting sqref="J68:J74">
    <cfRule type="expression" dxfId="3355" priority="22">
      <formula>$F$10="EURO"</formula>
    </cfRule>
  </conditionalFormatting>
  <conditionalFormatting sqref="J13:K54">
    <cfRule type="cellIs" dxfId="3354" priority="7" operator="greaterThan">
      <formula>0</formula>
    </cfRule>
  </conditionalFormatting>
  <conditionalFormatting sqref="J57:K66">
    <cfRule type="cellIs" dxfId="3353" priority="17" operator="greaterThan">
      <formula>0</formula>
    </cfRule>
  </conditionalFormatting>
  <dataValidations count="1">
    <dataValidation type="list" allowBlank="1" showInputMessage="1" showErrorMessage="1" sqref="D55" xr:uid="{00000000-0002-0000-30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IF('[6]CANOPY (13)'!C3="","",'[6]CANOPY (13)'!C3)</f>
        <v>#REF!</v>
      </c>
      <c r="D3" s="979"/>
      <c r="E3" s="103" t="s">
        <v>4</v>
      </c>
      <c r="F3" s="935" t="e">
        <f>IF('[6]CANOPY (13)'!G3="","",'[6]CANOPY (13)'!G3)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IF('[6]CANOPY (13)'!C5="","",'[6]CANOPY (13)'!C5)</f>
        <v>#REF!</v>
      </c>
      <c r="D5" s="979"/>
      <c r="E5" s="103" t="s">
        <v>8</v>
      </c>
      <c r="F5" s="935" t="e">
        <f>IF('[6]CANOPY (13)'!G5="","",'[6]CANOPY (13)'!G5)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IF('[6]CANOPY (13)'!C7="","",'[6]CANOPY (13)'!C7)</f>
        <v>#REF!</v>
      </c>
      <c r="D7" s="979"/>
      <c r="E7" s="103" t="s">
        <v>12</v>
      </c>
      <c r="F7" s="939" t="e">
        <f>IF('[6]CANOPY (13)'!G7="","",'[6]CANOPY (13)'!G7)</f>
        <v>#REF!</v>
      </c>
      <c r="G7" s="979"/>
      <c r="H7" s="245"/>
      <c r="J7" s="240" t="s">
        <v>14</v>
      </c>
      <c r="K7" s="787" t="e">
        <f>IF('[6]CANOPY (13)'!O7="","",'[6]CANOPY (13)'!O7)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3352" priority="27">
      <formula>B9="CURRENCY"</formula>
    </cfRule>
    <cfRule type="containsText" dxfId="3351" priority="26" operator="containsText" text="SELECT">
      <formula>NOT(ISERROR(SEARCH("SELECT",B9)))</formula>
    </cfRule>
  </conditionalFormatting>
  <conditionalFormatting sqref="B13:B24">
    <cfRule type="expression" dxfId="3350" priority="4">
      <formula>$C13&gt;0</formula>
    </cfRule>
  </conditionalFormatting>
  <conditionalFormatting sqref="B25:B39">
    <cfRule type="expression" dxfId="3349" priority="3">
      <formula>$C25&gt;0</formula>
    </cfRule>
  </conditionalFormatting>
  <conditionalFormatting sqref="B40:B54">
    <cfRule type="expression" dxfId="3348" priority="2">
      <formula>$C40&gt;0</formula>
    </cfRule>
  </conditionalFormatting>
  <conditionalFormatting sqref="B57:B66">
    <cfRule type="expression" dxfId="3347" priority="1">
      <formula>$C57&gt;0</formula>
    </cfRule>
  </conditionalFormatting>
  <conditionalFormatting sqref="C13:C54">
    <cfRule type="cellIs" dxfId="3346" priority="13" operator="lessThan">
      <formula>1</formula>
    </cfRule>
  </conditionalFormatting>
  <conditionalFormatting sqref="C57:C66">
    <cfRule type="cellIs" dxfId="3345" priority="29" operator="equal">
      <formula>0</formula>
    </cfRule>
  </conditionalFormatting>
  <conditionalFormatting sqref="C9:D9">
    <cfRule type="cellIs" dxfId="3344" priority="24" operator="greaterThan">
      <formula>0</formula>
    </cfRule>
    <cfRule type="cellIs" dxfId="3343" priority="23" operator="lessThan">
      <formula>0</formula>
    </cfRule>
  </conditionalFormatting>
  <conditionalFormatting sqref="F13:F54">
    <cfRule type="expression" dxfId="3342" priority="12">
      <formula>C13&gt;0</formula>
    </cfRule>
  </conditionalFormatting>
  <conditionalFormatting sqref="F57:F66">
    <cfRule type="expression" dxfId="3341" priority="22">
      <formula>C57&gt;0</formula>
    </cfRule>
  </conditionalFormatting>
  <conditionalFormatting sqref="F58:F66">
    <cfRule type="expression" dxfId="3340" priority="28">
      <formula>C58&lt;1</formula>
    </cfRule>
  </conditionalFormatting>
  <conditionalFormatting sqref="G13:G54">
    <cfRule type="cellIs" dxfId="3339" priority="11" operator="greaterThan">
      <formula>0</formula>
    </cfRule>
  </conditionalFormatting>
  <conditionalFormatting sqref="G57:G66">
    <cfRule type="cellIs" dxfId="3338" priority="21" operator="greaterThan">
      <formula>0</formula>
    </cfRule>
  </conditionalFormatting>
  <conditionalFormatting sqref="H13:H54">
    <cfRule type="expression" dxfId="3337" priority="18">
      <formula>$C$9&gt;0</formula>
    </cfRule>
    <cfRule type="expression" dxfId="3336" priority="19">
      <formula>$C$9&lt;0</formula>
    </cfRule>
  </conditionalFormatting>
  <conditionalFormatting sqref="H57:H66">
    <cfRule type="expression" dxfId="3335" priority="34">
      <formula>$C$9&gt;0</formula>
    </cfRule>
    <cfRule type="expression" dxfId="3334" priority="35">
      <formula>$C$9&lt;0</formula>
    </cfRule>
  </conditionalFormatting>
  <conditionalFormatting sqref="J2:J6 J75:J1048576">
    <cfRule type="expression" dxfId="3333" priority="30">
      <formula>$B$9="EURO"</formula>
    </cfRule>
  </conditionalFormatting>
  <conditionalFormatting sqref="J8:J67">
    <cfRule type="expression" dxfId="3332" priority="14">
      <formula>$B$9="EURO"</formula>
    </cfRule>
  </conditionalFormatting>
  <conditionalFormatting sqref="J9 J56:J66">
    <cfRule type="expression" dxfId="3331" priority="31">
      <formula>$B$9="USD"</formula>
    </cfRule>
    <cfRule type="expression" dxfId="3330" priority="32">
      <formula>$B$9="PLN"</formula>
    </cfRule>
    <cfRule type="expression" dxfId="3329" priority="33">
      <formula>$B$9="CZK"</formula>
    </cfRule>
  </conditionalFormatting>
  <conditionalFormatting sqref="J12:J54">
    <cfRule type="expression" dxfId="3328" priority="17">
      <formula>$B$9="CZK"</formula>
    </cfRule>
    <cfRule type="expression" dxfId="3327" priority="16">
      <formula>$B$9="PLN"</formula>
    </cfRule>
    <cfRule type="expression" dxfId="3326" priority="15">
      <formula>$B$9="USD"</formula>
    </cfRule>
  </conditionalFormatting>
  <conditionalFormatting sqref="J68:J74">
    <cfRule type="expression" dxfId="3325" priority="25">
      <formula>$F$10="EURO"</formula>
    </cfRule>
  </conditionalFormatting>
  <conditionalFormatting sqref="J13:K54">
    <cfRule type="cellIs" dxfId="3324" priority="10" operator="greaterThan">
      <formula>0</formula>
    </cfRule>
  </conditionalFormatting>
  <conditionalFormatting sqref="J57:K66">
    <cfRule type="cellIs" dxfId="3323" priority="20" operator="greaterThan">
      <formula>0</formula>
    </cfRule>
  </conditionalFormatting>
  <conditionalFormatting sqref="M12:P54">
    <cfRule type="expression" dxfId="3322" priority="9">
      <formula>$B$9="CZK"</formula>
    </cfRule>
    <cfRule type="expression" dxfId="3321" priority="8">
      <formula>$B$9="PLN"</formula>
    </cfRule>
    <cfRule type="expression" dxfId="3320" priority="7">
      <formula>$B$9="USD"</formula>
    </cfRule>
    <cfRule type="expression" dxfId="3319" priority="6">
      <formula>$B$9="EURO"</formula>
    </cfRule>
  </conditionalFormatting>
  <conditionalFormatting sqref="M13:P54">
    <cfRule type="cellIs" dxfId="3318" priority="5" operator="greaterThan">
      <formula>0</formula>
    </cfRule>
  </conditionalFormatting>
  <dataValidations count="3">
    <dataValidation type="list" allowBlank="1" showInputMessage="1" showErrorMessage="1" sqref="D26" xr:uid="{00000000-0002-0000-3100-000000000000}">
      <formula1>$H$17:$H$21</formula1>
    </dataValidation>
    <dataValidation type="list" allowBlank="1" showInputMessage="1" showErrorMessage="1" sqref="D55" xr:uid="{00000000-0002-0000-3100-000001000000}">
      <formula1>$B$3:$B$15</formula1>
    </dataValidation>
    <dataValidation type="list" allowBlank="1" showInputMessage="1" showErrorMessage="1" sqref="D13" xr:uid="{00000000-0002-0000-31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IF('[6]CANOPY (13)'!C3="","",'[6]CANOPY (13)'!C3)</f>
        <v>#REF!</v>
      </c>
      <c r="D3" s="979"/>
      <c r="E3" s="122" t="s">
        <v>4</v>
      </c>
      <c r="F3" s="987" t="e">
        <f>IF('[6]CANOPY (13)'!G3="","",'[6]CANOPY (13)'!G3)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IF('[6]CANOPY (13)'!C5="","",'[6]CANOPY (13)'!C5)</f>
        <v>#REF!</v>
      </c>
      <c r="D5" s="979"/>
      <c r="E5" s="122" t="s">
        <v>8</v>
      </c>
      <c r="F5" s="987" t="e">
        <f>IF('[6]CANOPY (13)'!G5="","",'[6]CANOPY (13)'!G5)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IF('[6]CANOPY (13)'!C7="","",'[6]CANOPY (13)'!C7)</f>
        <v>#REF!</v>
      </c>
      <c r="D7" s="979"/>
      <c r="E7" s="122" t="s">
        <v>12</v>
      </c>
      <c r="F7" s="989" t="e">
        <f>IF('[6]CANOPY (13)'!G7="","",'[6]CANOPY (13)'!G7)</f>
        <v>#REF!</v>
      </c>
      <c r="G7" s="979"/>
      <c r="H7" s="979"/>
      <c r="J7" s="197" t="s">
        <v>14</v>
      </c>
      <c r="K7" s="484" t="e">
        <f>IF('[6]CANOPY (13)'!O7="","",'[6]CANOPY (13)'!O7)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317" priority="8" operator="containsText" text="SELECT">
      <formula>NOT(ISERROR(SEARCH("SELECT",B10)))</formula>
    </cfRule>
    <cfRule type="expression" dxfId="3316" priority="9">
      <formula>B10="CURRENCY"</formula>
    </cfRule>
  </conditionalFormatting>
  <conditionalFormatting sqref="B14:B41">
    <cfRule type="expression" dxfId="3315" priority="2">
      <formula>$C14&gt;0</formula>
    </cfRule>
  </conditionalFormatting>
  <conditionalFormatting sqref="B44:B55">
    <cfRule type="expression" dxfId="3314" priority="1">
      <formula>$C44&gt;0</formula>
    </cfRule>
  </conditionalFormatting>
  <conditionalFormatting sqref="C14:C41 C44:C55">
    <cfRule type="cellIs" dxfId="3313" priority="12" operator="equal">
      <formula>0</formula>
    </cfRule>
  </conditionalFormatting>
  <conditionalFormatting sqref="C10:D10">
    <cfRule type="cellIs" dxfId="3312" priority="6" operator="lessThan">
      <formula>0</formula>
    </cfRule>
    <cfRule type="cellIs" dxfId="3311" priority="7" operator="greaterThan">
      <formula>0</formula>
    </cfRule>
  </conditionalFormatting>
  <conditionalFormatting sqref="E12:E13">
    <cfRule type="cellIs" dxfId="3310" priority="10" operator="greaterThan">
      <formula>0</formula>
    </cfRule>
    <cfRule type="cellIs" dxfId="3309" priority="11" operator="lessThan">
      <formula>0</formula>
    </cfRule>
  </conditionalFormatting>
  <conditionalFormatting sqref="F14:F41 F44:F55">
    <cfRule type="expression" dxfId="3308" priority="5">
      <formula>C14&gt;0</formula>
    </cfRule>
  </conditionalFormatting>
  <conditionalFormatting sqref="G14:G41 G44:G55">
    <cfRule type="cellIs" dxfId="3307" priority="4" operator="greaterThan">
      <formula>0</formula>
    </cfRule>
  </conditionalFormatting>
  <conditionalFormatting sqref="H14:H41 H44:H55">
    <cfRule type="expression" dxfId="3306" priority="17">
      <formula>$C$10&lt;0</formula>
    </cfRule>
    <cfRule type="expression" dxfId="3305" priority="18">
      <formula>$C$10&gt;0</formula>
    </cfRule>
  </conditionalFormatting>
  <conditionalFormatting sqref="J1:J6 J8:J11 J13:J1048576">
    <cfRule type="expression" dxfId="3304" priority="13">
      <formula>$B$10="EURO"</formula>
    </cfRule>
  </conditionalFormatting>
  <conditionalFormatting sqref="J10 J13:J41 J43:J55">
    <cfRule type="expression" dxfId="3303" priority="14">
      <formula>$B$10="PLN"</formula>
    </cfRule>
    <cfRule type="expression" dxfId="3302" priority="15">
      <formula>$B$10="CZK"</formula>
    </cfRule>
    <cfRule type="expression" dxfId="3301" priority="16">
      <formula>$B$10="USD"</formula>
    </cfRule>
  </conditionalFormatting>
  <conditionalFormatting sqref="J14:K41 J44:K56">
    <cfRule type="cellIs" dxfId="3300" priority="3" operator="greaterThan">
      <formula>0</formula>
    </cfRule>
  </conditionalFormatting>
  <dataValidations count="1">
    <dataValidation type="list" allowBlank="1" showInputMessage="1" showErrorMessage="1" sqref="F12:F13" xr:uid="{00000000-0002-0000-32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IF('[6]CANOPY (13)'!C3="","",'[6]CANOPY (13)'!C3)</f>
        <v>#REF!</v>
      </c>
      <c r="D3" s="990"/>
      <c r="E3" s="129"/>
      <c r="F3" s="132" t="s">
        <v>4</v>
      </c>
      <c r="G3" s="938" t="e">
        <f>IF('[6]CANOPY (13)'!G3="","",'[6]CANOPY (13)'!G3)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IF('[6]CANOPY (13)'!C5="","",'[6]CANOPY (13)'!C5)</f>
        <v>#REF!</v>
      </c>
      <c r="D5" s="990"/>
      <c r="E5" s="131"/>
      <c r="F5" s="132" t="s">
        <v>8</v>
      </c>
      <c r="G5" s="938" t="e">
        <f>IF('[6]CANOPY (13)'!G5="","",'[6]CANOPY (13)'!G5)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IF('[6]CANOPY (13)'!C7="","",'[6]CANOPY (13)'!C7)</f>
        <v>#REF!</v>
      </c>
      <c r="D7" s="990"/>
      <c r="E7" s="135"/>
      <c r="F7" s="136" t="s">
        <v>12</v>
      </c>
      <c r="G7" s="939" t="e">
        <f>IF('[6]CANOPY (13)'!G7="","",'[6]CANOPY (13)'!G7)</f>
        <v>#REF!</v>
      </c>
      <c r="H7" s="990"/>
      <c r="I7" s="51"/>
      <c r="J7" s="280"/>
      <c r="K7" s="280" t="s">
        <v>14</v>
      </c>
      <c r="L7" s="484" t="e">
        <f>IF('[6]CANOPY (13)'!O7="","",'[6]CANOPY (13)'!O7)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3299" priority="26">
      <formula>B9="CURRENCY"</formula>
    </cfRule>
    <cfRule type="containsText" dxfId="3298" priority="25" operator="containsText" text="SELECT">
      <formula>NOT(ISERROR(SEARCH("SELECT",B9)))</formula>
    </cfRule>
  </conditionalFormatting>
  <conditionalFormatting sqref="B15:B29">
    <cfRule type="expression" dxfId="3297" priority="9">
      <formula>$D15&gt;0</formula>
    </cfRule>
  </conditionalFormatting>
  <conditionalFormatting sqref="B49 E49:F49">
    <cfRule type="expression" dxfId="3296" priority="49">
      <formula>C40="select controls"</formula>
    </cfRule>
  </conditionalFormatting>
  <conditionalFormatting sqref="C13">
    <cfRule type="containsText" dxfId="3295" priority="29" operator="containsText" text="SELECT">
      <formula>NOT(ISERROR(SEARCH("SELECT",C13)))</formula>
    </cfRule>
  </conditionalFormatting>
  <conditionalFormatting sqref="C15:C22">
    <cfRule type="containsText" dxfId="3294" priority="15" operator="containsText" text="SIZE">
      <formula>NOT(ISERROR(SEARCH("SIZE",C15)))</formula>
    </cfRule>
  </conditionalFormatting>
  <conditionalFormatting sqref="C25">
    <cfRule type="containsText" dxfId="3293" priority="37" operator="containsText" text="SELECT CONTROLS">
      <formula>NOT(ISERROR(SEARCH("SELECT CONTROLS",C25)))</formula>
    </cfRule>
  </conditionalFormatting>
  <conditionalFormatting sqref="C26">
    <cfRule type="expression" dxfId="3292" priority="32">
      <formula>$C$25="SMARTEC"</formula>
    </cfRule>
    <cfRule type="containsText" dxfId="3291" priority="31" operator="containsText" text="st/st">
      <formula>NOT(ISERROR(SEARCH("st/st",C26)))</formula>
    </cfRule>
  </conditionalFormatting>
  <conditionalFormatting sqref="C31:C32">
    <cfRule type="cellIs" dxfId="3290" priority="20" operator="greaterThan">
      <formula>0</formula>
    </cfRule>
  </conditionalFormatting>
  <conditionalFormatting sqref="C52:C61">
    <cfRule type="cellIs" dxfId="3289" priority="28" operator="lessThan">
      <formula>1</formula>
    </cfRule>
  </conditionalFormatting>
  <conditionalFormatting sqref="C9:D9">
    <cfRule type="cellIs" dxfId="3288" priority="23" operator="lessThan">
      <formula>0</formula>
    </cfRule>
    <cfRule type="cellIs" dxfId="3287" priority="24" operator="greaterThan">
      <formula>0</formula>
    </cfRule>
  </conditionalFormatting>
  <conditionalFormatting sqref="C29:D29">
    <cfRule type="expression" dxfId="3286" priority="36">
      <formula>$C$25="REMOTE TOUCH SCREEN"</formula>
    </cfRule>
    <cfRule type="expression" dxfId="3285" priority="35">
      <formula>$C$25="SMARTEC"</formula>
    </cfRule>
  </conditionalFormatting>
  <conditionalFormatting sqref="D26">
    <cfRule type="expression" dxfId="3284" priority="33">
      <formula>C25="SMARTEC"</formula>
    </cfRule>
    <cfRule type="expression" dxfId="3283" priority="30">
      <formula>C26="st/st enclosure"</formula>
    </cfRule>
  </conditionalFormatting>
  <conditionalFormatting sqref="D29">
    <cfRule type="expression" dxfId="3282" priority="34">
      <formula>$C$25="SMARTEC"</formula>
    </cfRule>
  </conditionalFormatting>
  <conditionalFormatting sqref="D38">
    <cfRule type="expression" dxfId="3281" priority="48">
      <formula>#REF!="SMARTEC"</formula>
    </cfRule>
    <cfRule type="expression" dxfId="3280" priority="47">
      <formula>C38="st/st enclosure"</formula>
    </cfRule>
  </conditionalFormatting>
  <conditionalFormatting sqref="E39:E43">
    <cfRule type="expression" dxfId="3279" priority="46">
      <formula>#REF!="select controls"</formula>
    </cfRule>
  </conditionalFormatting>
  <conditionalFormatting sqref="E44:F45 B45:B48 E46:E47 E48:F48">
    <cfRule type="expression" dxfId="3278" priority="27">
      <formula>C38="select controls"</formula>
    </cfRule>
  </conditionalFormatting>
  <conditionalFormatting sqref="F40">
    <cfRule type="expression" dxfId="3277" priority="1">
      <formula>G34="select controls"</formula>
    </cfRule>
  </conditionalFormatting>
  <conditionalFormatting sqref="G15:G36">
    <cfRule type="cellIs" dxfId="3276" priority="2" operator="greaterThan">
      <formula>0</formula>
    </cfRule>
  </conditionalFormatting>
  <conditionalFormatting sqref="G38:G49">
    <cfRule type="cellIs" dxfId="3275" priority="18" operator="greaterThan">
      <formula>0</formula>
    </cfRule>
  </conditionalFormatting>
  <conditionalFormatting sqref="G52:G61">
    <cfRule type="expression" dxfId="3274" priority="8">
      <formula>C52&gt;0</formula>
    </cfRule>
  </conditionalFormatting>
  <conditionalFormatting sqref="H13 J13 L13">
    <cfRule type="expression" dxfId="3273" priority="38">
      <formula>$B$9="EURO"</formula>
    </cfRule>
  </conditionalFormatting>
  <conditionalFormatting sqref="H15:H61">
    <cfRule type="cellIs" dxfId="3272" priority="19" operator="greaterThan">
      <formula>0</formula>
    </cfRule>
  </conditionalFormatting>
  <conditionalFormatting sqref="I15:I36 I38:I49 I52:I61">
    <cfRule type="expression" dxfId="3271" priority="44">
      <formula>$C$9&lt;0</formula>
    </cfRule>
    <cfRule type="expression" dxfId="3270" priority="43">
      <formula>$C$9&gt;0</formula>
    </cfRule>
  </conditionalFormatting>
  <conditionalFormatting sqref="J37">
    <cfRule type="expression" dxfId="3269" priority="42">
      <formula>$B$9="EURO"</formula>
    </cfRule>
    <cfRule type="expression" dxfId="3268" priority="41">
      <formula>$B$9="USD"</formula>
    </cfRule>
    <cfRule type="expression" dxfId="3267" priority="40">
      <formula>$B$9="CZK"</formula>
    </cfRule>
    <cfRule type="expression" dxfId="3266" priority="39">
      <formula>$B$9="PLN"</formula>
    </cfRule>
  </conditionalFormatting>
  <conditionalFormatting sqref="J63:J69">
    <cfRule type="expression" dxfId="3265" priority="45">
      <formula>#REF!="EURO"</formula>
    </cfRule>
  </conditionalFormatting>
  <conditionalFormatting sqref="K1:K36">
    <cfRule type="expression" dxfId="3264" priority="5">
      <formula>$B$9="USD"</formula>
    </cfRule>
    <cfRule type="expression" dxfId="3263" priority="4">
      <formula>$B$9="EURO"</formula>
    </cfRule>
    <cfRule type="expression" dxfId="3262" priority="6">
      <formula>$B$9="PLN"</formula>
    </cfRule>
  </conditionalFormatting>
  <conditionalFormatting sqref="K1:K1048576">
    <cfRule type="expression" dxfId="3261" priority="7">
      <formula>$B$9="CZK"</formula>
    </cfRule>
  </conditionalFormatting>
  <conditionalFormatting sqref="K15:K36">
    <cfRule type="cellIs" dxfId="3260" priority="3" operator="greaterThan">
      <formula>0</formula>
    </cfRule>
  </conditionalFormatting>
  <conditionalFormatting sqref="K38:K49">
    <cfRule type="cellIs" dxfId="3259" priority="14" operator="greaterThan">
      <formula>0</formula>
    </cfRule>
  </conditionalFormatting>
  <conditionalFormatting sqref="K38:K1048576">
    <cfRule type="expression" dxfId="3258" priority="11">
      <formula>$B$9="EURO"</formula>
    </cfRule>
    <cfRule type="expression" dxfId="3257" priority="12">
      <formula>$B$9="USD"</formula>
    </cfRule>
    <cfRule type="expression" dxfId="3256" priority="13">
      <formula>$B$9="PLN"</formula>
    </cfRule>
  </conditionalFormatting>
  <conditionalFormatting sqref="K50">
    <cfRule type="cellIs" dxfId="3255" priority="22" operator="greaterThan">
      <formula>0</formula>
    </cfRule>
  </conditionalFormatting>
  <conditionalFormatting sqref="K52:K61">
    <cfRule type="cellIs" dxfId="3254" priority="10" operator="greaterThan">
      <formula>0</formula>
    </cfRule>
  </conditionalFormatting>
  <conditionalFormatting sqref="L15:L36 L52:L61">
    <cfRule type="cellIs" dxfId="3253" priority="21" operator="greaterThan">
      <formula>0</formula>
    </cfRule>
  </conditionalFormatting>
  <conditionalFormatting sqref="L38:L49">
    <cfRule type="cellIs" dxfId="3252" priority="17" operator="greaterThan">
      <formula>0</formula>
    </cfRule>
  </conditionalFormatting>
  <conditionalFormatting sqref="U40">
    <cfRule type="cellIs" dxfId="3251" priority="16" operator="greaterThan">
      <formula>0</formula>
    </cfRule>
  </conditionalFormatting>
  <dataValidations count="3">
    <dataValidation type="list" allowBlank="1" showInputMessage="1" showErrorMessage="1" sqref="C25" xr:uid="{00000000-0002-0000-3300-000000000000}">
      <formula1>"SELECT CONTROLS,SMARTEC, REMOTE TOUCH SCREEN"</formula1>
    </dataValidation>
    <dataValidation type="list" allowBlank="1" showInputMessage="1" showErrorMessage="1" sqref="C13" xr:uid="{00000000-0002-0000-33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3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IF('[6]CANOPY (13)'!C3="","",'[6]CANOPY (13)'!C3)</f>
        <v>#REF!</v>
      </c>
      <c r="D3" s="990"/>
      <c r="E3" s="129"/>
      <c r="F3" s="132" t="s">
        <v>4</v>
      </c>
      <c r="G3" s="938" t="e">
        <f>IF('[6]CANOPY (13)'!G3="","",'[6]CANOPY (13)'!G3)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IF('[6]CANOPY (13)'!C5="","",'[6]CANOPY (13)'!C5)</f>
        <v>#REF!</v>
      </c>
      <c r="D5" s="990"/>
      <c r="E5" s="131"/>
      <c r="F5" s="132" t="s">
        <v>8</v>
      </c>
      <c r="G5" s="938" t="e">
        <f>IF('[6]CANOPY (13)'!G5="","",'[6]CANOPY (13)'!G5)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IF('[6]CANOPY (13)'!C7="","",'[6]CANOPY (13)'!C7)</f>
        <v>#REF!</v>
      </c>
      <c r="D7" s="990"/>
      <c r="E7" s="135"/>
      <c r="F7" s="136" t="s">
        <v>12</v>
      </c>
      <c r="G7" s="939" t="e">
        <f>IF('[6]CANOPY (13)'!G7="","",'[6]CANOPY (13)'!G7)</f>
        <v>#REF!</v>
      </c>
      <c r="H7" s="990"/>
      <c r="I7" s="51"/>
      <c r="J7" s="280"/>
      <c r="K7" s="280" t="s">
        <v>14</v>
      </c>
      <c r="L7" s="484" t="e">
        <f>IF('[6]CANOPY (13)'!O7="","",'[6]CANOPY (13)'!O7)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3250" priority="30">
      <formula>B9="CURRENCY"</formula>
    </cfRule>
    <cfRule type="containsText" dxfId="3249" priority="29" operator="containsText" text="SELECT">
      <formula>NOT(ISERROR(SEARCH("SELECT",B9)))</formula>
    </cfRule>
  </conditionalFormatting>
  <conditionalFormatting sqref="B15:B30">
    <cfRule type="expression" dxfId="3248" priority="2">
      <formula>$D15&gt;0</formula>
    </cfRule>
  </conditionalFormatting>
  <conditionalFormatting sqref="B50 E50:F50">
    <cfRule type="expression" dxfId="3247" priority="53">
      <formula>C41="select controls"</formula>
    </cfRule>
  </conditionalFormatting>
  <conditionalFormatting sqref="C13">
    <cfRule type="containsText" dxfId="3246" priority="33" operator="containsText" text="SELECT">
      <formula>NOT(ISERROR(SEARCH("SELECT",C13)))</formula>
    </cfRule>
  </conditionalFormatting>
  <conditionalFormatting sqref="C15:C23">
    <cfRule type="containsText" dxfId="3245" priority="8" operator="containsText" text="SIZE">
      <formula>NOT(ISERROR(SEARCH("SIZE",C15)))</formula>
    </cfRule>
  </conditionalFormatting>
  <conditionalFormatting sqref="C26">
    <cfRule type="containsText" dxfId="3244" priority="41" operator="containsText" text="SELECT CONTROLS">
      <formula>NOT(ISERROR(SEARCH("SELECT CONTROLS",C26)))</formula>
    </cfRule>
  </conditionalFormatting>
  <conditionalFormatting sqref="C27">
    <cfRule type="expression" dxfId="3243" priority="36">
      <formula>$C$26="SMARTEC"</formula>
    </cfRule>
    <cfRule type="containsText" dxfId="3242" priority="35" operator="containsText" text="st/st">
      <formula>NOT(ISERROR(SEARCH("st/st",C27)))</formula>
    </cfRule>
  </conditionalFormatting>
  <conditionalFormatting sqref="C32:C33">
    <cfRule type="cellIs" dxfId="3241" priority="24" operator="greaterThan">
      <formula>0</formula>
    </cfRule>
  </conditionalFormatting>
  <conditionalFormatting sqref="C53:C62">
    <cfRule type="cellIs" dxfId="3240" priority="32" operator="lessThan">
      <formula>1</formula>
    </cfRule>
  </conditionalFormatting>
  <conditionalFormatting sqref="C9:D9">
    <cfRule type="cellIs" dxfId="3239" priority="27" operator="lessThan">
      <formula>0</formula>
    </cfRule>
    <cfRule type="cellIs" dxfId="3238" priority="28" operator="greaterThan">
      <formula>0</formula>
    </cfRule>
  </conditionalFormatting>
  <conditionalFormatting sqref="C30:D30">
    <cfRule type="expression" dxfId="3237" priority="40">
      <formula>$C$26="REMOTE TOUCH SCREEN"</formula>
    </cfRule>
    <cfRule type="expression" dxfId="3236" priority="39">
      <formula>$C$26="SMARTEC"</formula>
    </cfRule>
  </conditionalFormatting>
  <conditionalFormatting sqref="D27">
    <cfRule type="expression" dxfId="3235" priority="37">
      <formula>C26="SMARTEC"</formula>
    </cfRule>
    <cfRule type="expression" dxfId="3234" priority="34">
      <formula>C27="st/st enclosure"</formula>
    </cfRule>
  </conditionalFormatting>
  <conditionalFormatting sqref="D30">
    <cfRule type="expression" dxfId="3233" priority="38">
      <formula>$C$26="SMARTEC"</formula>
    </cfRule>
  </conditionalFormatting>
  <conditionalFormatting sqref="D39">
    <cfRule type="expression" dxfId="3232" priority="52">
      <formula>#REF!="SMARTEC"</formula>
    </cfRule>
    <cfRule type="expression" dxfId="3231" priority="51">
      <formula>C39="st/st enclosure"</formula>
    </cfRule>
  </conditionalFormatting>
  <conditionalFormatting sqref="E40:E44">
    <cfRule type="expression" dxfId="3230" priority="50">
      <formula>#REF!="select controls"</formula>
    </cfRule>
  </conditionalFormatting>
  <conditionalFormatting sqref="E45 E46:F46 B46:B47 E47:E48 B49 E49:F49">
    <cfRule type="expression" dxfId="3229" priority="31">
      <formula>C39="select controls"</formula>
    </cfRule>
  </conditionalFormatting>
  <conditionalFormatting sqref="F41:F45">
    <cfRule type="expression" dxfId="3228" priority="1">
      <formula>G35="select controls"</formula>
    </cfRule>
  </conditionalFormatting>
  <conditionalFormatting sqref="G15:G37">
    <cfRule type="cellIs" dxfId="3227" priority="9" operator="greaterThan">
      <formula>0</formula>
    </cfRule>
  </conditionalFormatting>
  <conditionalFormatting sqref="G39:G50">
    <cfRule type="cellIs" dxfId="3226" priority="14" operator="greaterThan">
      <formula>0</formula>
    </cfRule>
  </conditionalFormatting>
  <conditionalFormatting sqref="G53:G62">
    <cfRule type="expression" dxfId="3225" priority="15">
      <formula>C53&gt;0</formula>
    </cfRule>
  </conditionalFormatting>
  <conditionalFormatting sqref="H13 J13 L13">
    <cfRule type="expression" dxfId="3224" priority="42">
      <formula>$B$9="EURO"</formula>
    </cfRule>
  </conditionalFormatting>
  <conditionalFormatting sqref="H23">
    <cfRule type="cellIs" dxfId="3223" priority="11" operator="greaterThan">
      <formula>0</formula>
    </cfRule>
  </conditionalFormatting>
  <conditionalFormatting sqref="H25:H62">
    <cfRule type="cellIs" dxfId="3222" priority="23" operator="greaterThan">
      <formula>0</formula>
    </cfRule>
  </conditionalFormatting>
  <conditionalFormatting sqref="H15:L22 L53:L62">
    <cfRule type="cellIs" dxfId="3221" priority="25" operator="greaterThan">
      <formula>0</formula>
    </cfRule>
  </conditionalFormatting>
  <conditionalFormatting sqref="I15:I37">
    <cfRule type="expression" dxfId="3220" priority="12">
      <formula>$C$9&gt;0</formula>
    </cfRule>
  </conditionalFormatting>
  <conditionalFormatting sqref="I23:I37">
    <cfRule type="expression" dxfId="3219" priority="13">
      <formula>$C$9&lt;0</formula>
    </cfRule>
  </conditionalFormatting>
  <conditionalFormatting sqref="I39:I50 I53:I62 I15:I22">
    <cfRule type="expression" dxfId="3218" priority="48">
      <formula>$C$9&lt;0</formula>
    </cfRule>
  </conditionalFormatting>
  <conditionalFormatting sqref="I39:I50 I53:I62">
    <cfRule type="expression" dxfId="3217" priority="47">
      <formula>$C$9&gt;0</formula>
    </cfRule>
  </conditionalFormatting>
  <conditionalFormatting sqref="J38">
    <cfRule type="expression" dxfId="3216" priority="43">
      <formula>$B$9="PLN"</formula>
    </cfRule>
    <cfRule type="expression" dxfId="3215" priority="44">
      <formula>$B$9="CZK"</formula>
    </cfRule>
    <cfRule type="expression" dxfId="3214" priority="45">
      <formula>$B$9="USD"</formula>
    </cfRule>
    <cfRule type="expression" dxfId="3213" priority="46">
      <formula>$B$9="EURO"</formula>
    </cfRule>
  </conditionalFormatting>
  <conditionalFormatting sqref="J64:J70">
    <cfRule type="expression" dxfId="3212" priority="49">
      <formula>#REF!="EURO"</formula>
    </cfRule>
  </conditionalFormatting>
  <conditionalFormatting sqref="K1:K37">
    <cfRule type="expression" dxfId="3211" priority="5">
      <formula>$B$9="USD"</formula>
    </cfRule>
    <cfRule type="expression" dxfId="3210" priority="4">
      <formula>$B$9="EURO"</formula>
    </cfRule>
    <cfRule type="expression" dxfId="3209" priority="6">
      <formula>$B$9="PLN"</formula>
    </cfRule>
  </conditionalFormatting>
  <conditionalFormatting sqref="K1:K1048576">
    <cfRule type="expression" dxfId="3208" priority="7">
      <formula>$B$9="CZK"</formula>
    </cfRule>
  </conditionalFormatting>
  <conditionalFormatting sqref="K15:K37">
    <cfRule type="cellIs" dxfId="3207" priority="3" operator="greaterThan">
      <formula>0</formula>
    </cfRule>
  </conditionalFormatting>
  <conditionalFormatting sqref="K39:K50">
    <cfRule type="cellIs" dxfId="3206" priority="20" operator="greaterThan">
      <formula>0</formula>
    </cfRule>
  </conditionalFormatting>
  <conditionalFormatting sqref="K39:K1048576">
    <cfRule type="expression" dxfId="3205" priority="19">
      <formula>$B$9="PLN"</formula>
    </cfRule>
    <cfRule type="expression" dxfId="3204" priority="18">
      <formula>$B$9="USD"</formula>
    </cfRule>
    <cfRule type="expression" dxfId="3203" priority="17">
      <formula>$B$9="EURO"</formula>
    </cfRule>
  </conditionalFormatting>
  <conditionalFormatting sqref="K51">
    <cfRule type="cellIs" dxfId="3202" priority="26" operator="greaterThan">
      <formula>0</formula>
    </cfRule>
  </conditionalFormatting>
  <conditionalFormatting sqref="K53:K62">
    <cfRule type="cellIs" dxfId="3201" priority="16" operator="greaterThan">
      <formula>0</formula>
    </cfRule>
  </conditionalFormatting>
  <conditionalFormatting sqref="L23:L37">
    <cfRule type="cellIs" dxfId="3200" priority="10" operator="greaterThan">
      <formula>0</formula>
    </cfRule>
  </conditionalFormatting>
  <conditionalFormatting sqref="L39:L50">
    <cfRule type="cellIs" dxfId="3199" priority="22" operator="greaterThan">
      <formula>0</formula>
    </cfRule>
  </conditionalFormatting>
  <conditionalFormatting sqref="T41">
    <cfRule type="cellIs" dxfId="3198"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400-000000000000}">
      <formula1>#REF!</formula1>
    </dataValidation>
    <dataValidation type="list" allowBlank="1" showInputMessage="1" showErrorMessage="1" sqref="C13" xr:uid="{00000000-0002-0000-3400-000001000000}">
      <formula1>"SELECT MODEL,INTERNAL,EXTERNAL"</formula1>
    </dataValidation>
    <dataValidation type="list" allowBlank="1" showInputMessage="1" showErrorMessage="1" sqref="C26" xr:uid="{00000000-0002-0000-34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IF('[6]CANOPY (13)'!C3="","",'[6]CANOPY (13)'!C3)</f>
        <v>#REF!</v>
      </c>
      <c r="E3" s="934"/>
      <c r="G3" s="71" t="s">
        <v>4</v>
      </c>
      <c r="H3" s="935" t="e">
        <f>IF('[6]CANOPY (13)'!G3="","",'[6]CANOPY (13)'!G3)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IF('[6]CANOPY (13)'!C5="","",'[6]CANOPY (13)'!C5)</f>
        <v>#REF!</v>
      </c>
      <c r="E5" s="934"/>
      <c r="G5" s="71" t="s">
        <v>8</v>
      </c>
      <c r="H5" s="935" t="e">
        <f>IF('[6]CANOPY (13)'!G5="","",'[6]CANOPY (13)'!G5)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IF('[6]CANOPY (13)'!C7="","",'[6]CANOPY (13)'!C7)</f>
        <v>#REF!</v>
      </c>
      <c r="E7" s="934"/>
      <c r="G7" s="71" t="s">
        <v>12</v>
      </c>
      <c r="H7" s="939" t="e">
        <f>IF('[6]CANOPY (13)'!G7="","",'[6]CANOPY (13)'!G7)</f>
        <v>#REF!</v>
      </c>
      <c r="I7" s="936"/>
      <c r="J7" s="937"/>
      <c r="N7" s="266" t="s">
        <v>14</v>
      </c>
      <c r="O7" s="787" t="e">
        <f>IF('[6]CANOPY (13)'!O7="","",'[6]CANOPY (13)'!O7)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3197" priority="26">
      <formula>C9="CURRENCY"</formula>
    </cfRule>
    <cfRule type="containsText" dxfId="3196" priority="25" operator="containsText" text="SELECT">
      <formula>NOT(ISERROR(SEARCH("SELECT",C9)))</formula>
    </cfRule>
  </conditionalFormatting>
  <conditionalFormatting sqref="C14:C23">
    <cfRule type="expression" dxfId="3195" priority="1">
      <formula>$J14&gt;0</formula>
    </cfRule>
  </conditionalFormatting>
  <conditionalFormatting sqref="C27:C37">
    <cfRule type="expression" dxfId="3194" priority="10">
      <formula>$D27&gt;0</formula>
    </cfRule>
  </conditionalFormatting>
  <conditionalFormatting sqref="D27:D28 D30:D37">
    <cfRule type="cellIs" dxfId="3193" priority="27" operator="lessThan">
      <formula>1</formula>
    </cfRule>
  </conditionalFormatting>
  <conditionalFormatting sqref="D29">
    <cfRule type="cellIs" dxfId="3192" priority="22" operator="lessThan">
      <formula>1</formula>
    </cfRule>
  </conditionalFormatting>
  <conditionalFormatting sqref="D9:E9">
    <cfRule type="cellIs" dxfId="3191" priority="23" operator="lessThan">
      <formula>0</formula>
    </cfRule>
    <cfRule type="cellIs" dxfId="3190" priority="24" operator="greaterThan">
      <formula>0</formula>
    </cfRule>
  </conditionalFormatting>
  <conditionalFormatting sqref="F12">
    <cfRule type="cellIs" dxfId="3189" priority="37" operator="greaterThan">
      <formula>2000</formula>
    </cfRule>
    <cfRule type="expression" dxfId="3188" priority="36">
      <formula>ISNUMBER(SEARCH("I-MUAP",#REF!))</formula>
    </cfRule>
    <cfRule type="expression" dxfId="3187" priority="35">
      <formula>AND((ISNUMBER(SEARCH("I-MUAP",#REF!))),F12&lt;2500)</formula>
    </cfRule>
  </conditionalFormatting>
  <conditionalFormatting sqref="F12:G12">
    <cfRule type="cellIs" dxfId="3186" priority="28" operator="lessThan">
      <formula>1000</formula>
    </cfRule>
  </conditionalFormatting>
  <conditionalFormatting sqref="F14:G19">
    <cfRule type="cellIs" dxfId="3185" priority="3" operator="lessThan">
      <formula>1000</formula>
    </cfRule>
  </conditionalFormatting>
  <conditionalFormatting sqref="G12">
    <cfRule type="cellIs" dxfId="3184" priority="29" operator="greaterThan">
      <formula>3001</formula>
    </cfRule>
  </conditionalFormatting>
  <conditionalFormatting sqref="H11">
    <cfRule type="expression" dxfId="3183" priority="38">
      <formula>((#REF!-50)/#REF!)&lt;950</formula>
    </cfRule>
  </conditionalFormatting>
  <conditionalFormatting sqref="H12">
    <cfRule type="expression" dxfId="3182" priority="39">
      <formula>((#REF!-50)/#REF!)&lt;950</formula>
    </cfRule>
  </conditionalFormatting>
  <conditionalFormatting sqref="H14:H19">
    <cfRule type="cellIs" dxfId="3181" priority="4" operator="lessThan">
      <formula>400</formula>
    </cfRule>
  </conditionalFormatting>
  <conditionalFormatting sqref="H24">
    <cfRule type="expression" dxfId="3180" priority="34">
      <formula>((#REF!-50)/#REF!)&lt;950</formula>
    </cfRule>
  </conditionalFormatting>
  <conditionalFormatting sqref="J14:J21">
    <cfRule type="cellIs" dxfId="3179" priority="15" operator="greaterThan">
      <formula>0</formula>
    </cfRule>
  </conditionalFormatting>
  <conditionalFormatting sqref="J27:J37">
    <cfRule type="expression" dxfId="3178" priority="16">
      <formula>D27&gt;0</formula>
    </cfRule>
  </conditionalFormatting>
  <conditionalFormatting sqref="J39:J45">
    <cfRule type="expression" dxfId="3177" priority="44">
      <formula>#REF!="EURO"</formula>
    </cfRule>
  </conditionalFormatting>
  <conditionalFormatting sqref="K14:K23 N14:O23">
    <cfRule type="cellIs" dxfId="3176" priority="2" operator="greaterThan">
      <formula>0</formula>
    </cfRule>
  </conditionalFormatting>
  <conditionalFormatting sqref="K27:K37">
    <cfRule type="cellIs" dxfId="3175" priority="21" operator="greaterThan">
      <formula>0</formula>
    </cfRule>
  </conditionalFormatting>
  <conditionalFormatting sqref="K39:K45">
    <cfRule type="expression" dxfId="3174" priority="40">
      <formula>$C$9="PLN"</formula>
    </cfRule>
    <cfRule type="expression" dxfId="3173" priority="41">
      <formula>$C$9="CZK"</formula>
    </cfRule>
    <cfRule type="expression" dxfId="3172" priority="42">
      <formula>$C$9="USD"</formula>
    </cfRule>
    <cfRule type="expression" dxfId="3171" priority="43">
      <formula>$C$9="EURO"</formula>
    </cfRule>
  </conditionalFormatting>
  <conditionalFormatting sqref="L14:L23">
    <cfRule type="expression" dxfId="3170" priority="14">
      <formula>$D$9&gt;0</formula>
    </cfRule>
    <cfRule type="expression" dxfId="3169" priority="13">
      <formula>$D$9&lt;0</formula>
    </cfRule>
  </conditionalFormatting>
  <conditionalFormatting sqref="L27:L37">
    <cfRule type="expression" dxfId="3168" priority="12">
      <formula>$D$9&gt;0</formula>
    </cfRule>
    <cfRule type="expression" dxfId="3167" priority="11">
      <formula>$D$9&lt;0</formula>
    </cfRule>
  </conditionalFormatting>
  <conditionalFormatting sqref="N9 N12">
    <cfRule type="expression" dxfId="3166" priority="30">
      <formula>$C$9="PLN"</formula>
    </cfRule>
    <cfRule type="expression" dxfId="3165" priority="31">
      <formula>$C$9="CZK"</formula>
    </cfRule>
    <cfRule type="expression" dxfId="3164" priority="32">
      <formula>$C$9="USD"</formula>
    </cfRule>
    <cfRule type="expression" dxfId="3163" priority="33">
      <formula>$C$9="EURO"</formula>
    </cfRule>
  </conditionalFormatting>
  <conditionalFormatting sqref="N14:N23">
    <cfRule type="expression" dxfId="3162" priority="20">
      <formula>$C$9="EURO"</formula>
    </cfRule>
    <cfRule type="expression" dxfId="3161" priority="19">
      <formula>$C$9="USD"</formula>
    </cfRule>
    <cfRule type="expression" dxfId="3160" priority="18">
      <formula>$C$9="CZK"</formula>
    </cfRule>
    <cfRule type="expression" dxfId="3159" priority="17">
      <formula>$C$9="PLN"</formula>
    </cfRule>
  </conditionalFormatting>
  <conditionalFormatting sqref="N26:N37">
    <cfRule type="expression" dxfId="3158" priority="6">
      <formula>$C$9="PLN"</formula>
    </cfRule>
    <cfRule type="expression" dxfId="3157" priority="7">
      <formula>$C$9="CZK"</formula>
    </cfRule>
    <cfRule type="expression" dxfId="3156" priority="9">
      <formula>$C$9="EURO"</formula>
    </cfRule>
    <cfRule type="expression" dxfId="3155" priority="8">
      <formula>$C$9="USD"</formula>
    </cfRule>
  </conditionalFormatting>
  <conditionalFormatting sqref="N27:O37">
    <cfRule type="cellIs" dxfId="3154" priority="5" operator="greaterThan">
      <formula>0</formula>
    </cfRule>
  </conditionalFormatting>
  <dataValidations count="3">
    <dataValidation type="list" allowBlank="1" showInputMessage="1" showErrorMessage="1" sqref="H25" xr:uid="{00000000-0002-0000-3500-000000000000}">
      <formula1>#REF!</formula1>
    </dataValidation>
    <dataValidation type="list" allowBlank="1" showInputMessage="1" showErrorMessage="1" sqref="E14:E23" xr:uid="{00000000-0002-0000-3500-000001000000}">
      <formula1>"0,1,2,3,4,5,6,7,8,9,10,11,12,13,14,15,16,17,18,19,20"</formula1>
    </dataValidation>
    <dataValidation operator="greaterThan" allowBlank="1" showInputMessage="1" showErrorMessage="1" sqref="F14:F19" xr:uid="{00000000-0002-0000-35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IF('[6]CANOPY (13)'!C3="","",'[6]CANOPY (13)'!C3)</f>
        <v>#REF!</v>
      </c>
      <c r="E3" s="934"/>
      <c r="G3" s="71" t="s">
        <v>4</v>
      </c>
      <c r="H3" s="935" t="e">
        <f>IF('[6]CANOPY (13)'!G3="","",'[6]CANOPY (13)'!G3)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IF('[6]CANOPY (13)'!C5="","",'[6]CANOPY (13)'!C5)</f>
        <v>#REF!</v>
      </c>
      <c r="E5" s="934"/>
      <c r="G5" s="71" t="s">
        <v>8</v>
      </c>
      <c r="H5" s="935" t="e">
        <f>IF('[6]CANOPY (13)'!G5="","",'[6]CANOPY (13)'!G5)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IF('[6]CANOPY (13)'!C7="","",'[6]CANOPY (13)'!C7)</f>
        <v>#REF!</v>
      </c>
      <c r="E7" s="934"/>
      <c r="G7" s="71" t="s">
        <v>12</v>
      </c>
      <c r="H7" s="939" t="e">
        <f>IF('[6]CANOPY (13)'!G7="","",'[6]CANOPY (13)'!G7)</f>
        <v>#REF!</v>
      </c>
      <c r="I7" s="936"/>
      <c r="J7" s="937"/>
      <c r="N7" s="266" t="s">
        <v>14</v>
      </c>
      <c r="O7" s="787" t="e">
        <f>IF('[6]CANOPY (13)'!O7="","",'[6]CANOPY (13)'!O7)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153" priority="34">
      <formula>C9="CURRENCY"</formula>
    </cfRule>
    <cfRule type="containsText" dxfId="3152" priority="33" operator="containsText" text="SELECT">
      <formula>NOT(ISERROR(SEARCH("SELECT",C9)))</formula>
    </cfRule>
  </conditionalFormatting>
  <conditionalFormatting sqref="C14:C32">
    <cfRule type="expression" dxfId="3151" priority="10">
      <formula>$J14&gt;0</formula>
    </cfRule>
  </conditionalFormatting>
  <conditionalFormatting sqref="C36:C46">
    <cfRule type="expression" dxfId="3150" priority="9">
      <formula>$D36&gt;0</formula>
    </cfRule>
  </conditionalFormatting>
  <conditionalFormatting sqref="D36:D37 D39:D46">
    <cfRule type="cellIs" dxfId="3149" priority="35" operator="lessThan">
      <formula>1</formula>
    </cfRule>
  </conditionalFormatting>
  <conditionalFormatting sqref="D38">
    <cfRule type="cellIs" dxfId="3148" priority="30" operator="lessThan">
      <formula>1</formula>
    </cfRule>
  </conditionalFormatting>
  <conditionalFormatting sqref="D9:E9">
    <cfRule type="cellIs" dxfId="3147" priority="32" operator="greaterThan">
      <formula>0</formula>
    </cfRule>
    <cfRule type="cellIs" dxfId="3146" priority="31" operator="lessThan">
      <formula>0</formula>
    </cfRule>
  </conditionalFormatting>
  <conditionalFormatting sqref="F12">
    <cfRule type="cellIs" dxfId="3145" priority="42" operator="greaterThan">
      <formula>2000</formula>
    </cfRule>
    <cfRule type="expression" dxfId="3144" priority="41">
      <formula>ISNUMBER(SEARCH("I-MUAP",$E$14))</formula>
    </cfRule>
    <cfRule type="expression" dxfId="3143" priority="40">
      <formula>AND((ISNUMBER(SEARCH("I-MUAP",$E$14))),F12&lt;2500)</formula>
    </cfRule>
  </conditionalFormatting>
  <conditionalFormatting sqref="F12:G12">
    <cfRule type="cellIs" dxfId="3142" priority="36" operator="lessThan">
      <formula>1000</formula>
    </cfRule>
  </conditionalFormatting>
  <conditionalFormatting sqref="F14:G26">
    <cfRule type="cellIs" dxfId="3141" priority="2" operator="lessThan">
      <formula>1000</formula>
    </cfRule>
  </conditionalFormatting>
  <conditionalFormatting sqref="G12">
    <cfRule type="cellIs" dxfId="3140" priority="37" operator="greaterThan">
      <formula>3001</formula>
    </cfRule>
  </conditionalFormatting>
  <conditionalFormatting sqref="H11">
    <cfRule type="expression" dxfId="3139" priority="39">
      <formula>((G14-50)/I14)&lt;950</formula>
    </cfRule>
  </conditionalFormatting>
  <conditionalFormatting sqref="H12">
    <cfRule type="expression" dxfId="3138" priority="38">
      <formula>((G14-50)/I14)&lt;950</formula>
    </cfRule>
  </conditionalFormatting>
  <conditionalFormatting sqref="H14:H26">
    <cfRule type="cellIs" dxfId="3137" priority="3" operator="lessThan">
      <formula>400</formula>
    </cfRule>
  </conditionalFormatting>
  <conditionalFormatting sqref="H33">
    <cfRule type="expression" dxfId="3136" priority="47">
      <formula>((#REF!-50)/#REF!)&lt;950</formula>
    </cfRule>
  </conditionalFormatting>
  <conditionalFormatting sqref="J14:J30">
    <cfRule type="cellIs" dxfId="3135" priority="15" operator="greaterThan">
      <formula>0</formula>
    </cfRule>
  </conditionalFormatting>
  <conditionalFormatting sqref="J36:J46">
    <cfRule type="expression" dxfId="3134" priority="23">
      <formula>D36&gt;0</formula>
    </cfRule>
  </conditionalFormatting>
  <conditionalFormatting sqref="J48:J54">
    <cfRule type="expression" dxfId="3133" priority="28">
      <formula>#REF!="EURO"</formula>
    </cfRule>
  </conditionalFormatting>
  <conditionalFormatting sqref="K14:K32">
    <cfRule type="cellIs" dxfId="3132" priority="1" operator="greaterThan">
      <formula>0</formula>
    </cfRule>
  </conditionalFormatting>
  <conditionalFormatting sqref="K36:K46">
    <cfRule type="cellIs" dxfId="3131" priority="29" operator="greaterThan">
      <formula>0</formula>
    </cfRule>
  </conditionalFormatting>
  <conditionalFormatting sqref="K48:K54">
    <cfRule type="expression" dxfId="3130" priority="24">
      <formula>$C$9="PLN"</formula>
    </cfRule>
    <cfRule type="expression" dxfId="3129" priority="25">
      <formula>$C$9="CZK"</formula>
    </cfRule>
    <cfRule type="expression" dxfId="3128" priority="26">
      <formula>$C$9="USD"</formula>
    </cfRule>
    <cfRule type="expression" dxfId="3127" priority="27">
      <formula>$C$9="EURO"</formula>
    </cfRule>
  </conditionalFormatting>
  <conditionalFormatting sqref="L14:L32">
    <cfRule type="expression" dxfId="3126" priority="13">
      <formula>$D$9&lt;0</formula>
    </cfRule>
    <cfRule type="expression" dxfId="3125" priority="14">
      <formula>$D$9&gt;0</formula>
    </cfRule>
  </conditionalFormatting>
  <conditionalFormatting sqref="L36:L46">
    <cfRule type="expression" dxfId="3124" priority="12">
      <formula>$D$9&gt;0</formula>
    </cfRule>
    <cfRule type="expression" dxfId="3123" priority="11">
      <formula>$D$9&lt;0</formula>
    </cfRule>
  </conditionalFormatting>
  <conditionalFormatting sqref="N9 N12">
    <cfRule type="expression" dxfId="3122" priority="43">
      <formula>$C$9="PLN"</formula>
    </cfRule>
    <cfRule type="expression" dxfId="3121" priority="44">
      <formula>$C$9="CZK"</formula>
    </cfRule>
    <cfRule type="expression" dxfId="3120" priority="45">
      <formula>$C$9="USD"</formula>
    </cfRule>
    <cfRule type="expression" dxfId="3119" priority="46">
      <formula>$C$9="EURO"</formula>
    </cfRule>
  </conditionalFormatting>
  <conditionalFormatting sqref="N14:N32">
    <cfRule type="expression" dxfId="3118" priority="20">
      <formula>$C$9="EURO"</formula>
    </cfRule>
    <cfRule type="expression" dxfId="3117" priority="19">
      <formula>$C$9="USD"</formula>
    </cfRule>
    <cfRule type="expression" dxfId="3116" priority="18">
      <formula>$C$9="CZK"</formula>
    </cfRule>
    <cfRule type="expression" dxfId="3115" priority="17">
      <formula>$C$9="PLN"</formula>
    </cfRule>
  </conditionalFormatting>
  <conditionalFormatting sqref="N18:N20">
    <cfRule type="cellIs" dxfId="3114" priority="21" operator="greaterThan">
      <formula>0</formula>
    </cfRule>
  </conditionalFormatting>
  <conditionalFormatting sqref="N35:N46">
    <cfRule type="expression" dxfId="3113" priority="8">
      <formula>$C$9="EURO"</formula>
    </cfRule>
    <cfRule type="expression" dxfId="3112" priority="7">
      <formula>$C$9="USD"</formula>
    </cfRule>
    <cfRule type="expression" dxfId="3111" priority="6">
      <formula>$C$9="CZK"</formula>
    </cfRule>
    <cfRule type="expression" dxfId="3110" priority="5">
      <formula>$C$9="PLN"</formula>
    </cfRule>
  </conditionalFormatting>
  <conditionalFormatting sqref="N14:O32">
    <cfRule type="cellIs" dxfId="3109" priority="16" operator="greaterThan">
      <formula>0</formula>
    </cfRule>
  </conditionalFormatting>
  <conditionalFormatting sqref="N36:O46">
    <cfRule type="cellIs" dxfId="3108" priority="4" operator="greaterThan">
      <formula>0</formula>
    </cfRule>
  </conditionalFormatting>
  <conditionalFormatting sqref="O14:O20">
    <cfRule type="cellIs" dxfId="3107" priority="22" operator="greaterThan">
      <formula>0</formula>
    </cfRule>
  </conditionalFormatting>
  <dataValidations count="3">
    <dataValidation type="list" allowBlank="1" showInputMessage="1" showErrorMessage="1" sqref="E14:E32" xr:uid="{00000000-0002-0000-3600-000000000000}">
      <formula1>"0,1,2,3,4,5,6,7,8,9,10,11,12,13,14,15,16,17,18,19,20"</formula1>
    </dataValidation>
    <dataValidation operator="greaterThan" allowBlank="1" showInputMessage="1" showErrorMessage="1" sqref="F14:F26" xr:uid="{00000000-0002-0000-3600-000001000000}"/>
    <dataValidation type="list" allowBlank="1" showInputMessage="1" showErrorMessage="1" sqref="H34" xr:uid="{00000000-0002-0000-36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IF('[7]CANOPY (14)'!G3="","",'[7]CANOPY (14)'!G3)</f>
        <v>#REF!</v>
      </c>
      <c r="I2" s="975"/>
      <c r="J2" s="975"/>
      <c r="K2" s="975"/>
      <c r="L2" s="976"/>
      <c r="M2" s="483" t="s">
        <v>368</v>
      </c>
      <c r="N2" s="974" t="e">
        <f>IF('[7]CANOPY (14)'!C3="","",'[7]CANOPY (14)'!C3)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IF('[7]CANOPY (14)'!G3="","",'[7]CANOPY (14)'!G3)</f>
        <v>#REF!</v>
      </c>
      <c r="I2" s="975"/>
      <c r="J2" s="975"/>
      <c r="K2" s="975"/>
      <c r="L2" s="976"/>
      <c r="M2" s="483" t="s">
        <v>368</v>
      </c>
      <c r="N2" s="974" t="e">
        <f>IF('[7]CANOPY (14)'!C3="","",'[7]CANOPY (14)'!C3)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IF('[7]CANOPY (14)'!G3="","",'[7]CANOPY (14)'!G3)</f>
        <v>#REF!</v>
      </c>
      <c r="I2" s="975"/>
      <c r="J2" s="975"/>
      <c r="K2" s="975"/>
      <c r="L2" s="976"/>
      <c r="M2" s="483" t="s">
        <v>368</v>
      </c>
      <c r="N2" s="974" t="e">
        <f>IF('[7]CANOPY (14)'!C3="","",'[7]CANOPY (14)'!C3)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IF('[7]CANOPY (14)'!C3="","",'[7]CANOPY (14)'!C3)</f>
        <v>#REF!</v>
      </c>
      <c r="D3" s="979"/>
      <c r="E3" s="103" t="s">
        <v>4</v>
      </c>
      <c r="F3" s="935" t="e">
        <f>IF('[7]CANOPY (14)'!G3="","",'[7]CANOPY (14)'!G3)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IF('[7]CANOPY (14)'!C5="","",'[7]CANOPY (14)'!C5)</f>
        <v>#REF!</v>
      </c>
      <c r="D5" s="979"/>
      <c r="E5" s="103" t="s">
        <v>8</v>
      </c>
      <c r="F5" s="935" t="e">
        <f>IF('[7]CANOPY (14)'!G5="","",'[7]CANOPY (14)'!G5)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IF('[7]CANOPY (14)'!C7="","",'[7]CANOPY (14)'!C7)</f>
        <v>#REF!</v>
      </c>
      <c r="D7" s="979"/>
      <c r="E7" s="103" t="s">
        <v>12</v>
      </c>
      <c r="F7" s="939" t="e">
        <f>IF('[7]CANOPY (14)'!G7="","",'[7]CANOPY (14)'!G7)</f>
        <v>#REF!</v>
      </c>
      <c r="G7" s="979"/>
      <c r="H7" s="245"/>
      <c r="J7" s="240" t="s">
        <v>14</v>
      </c>
      <c r="K7" s="787" t="e">
        <f>IF('[7]CANOPY (14)'!O7="","",'[7]CANOPY (14)'!O7)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3106" priority="24">
      <formula>B9="CURRENCY"</formula>
    </cfRule>
    <cfRule type="containsText" dxfId="3105" priority="23" operator="containsText" text="SELECT">
      <formula>NOT(ISERROR(SEARCH("SELECT",B9)))</formula>
    </cfRule>
  </conditionalFormatting>
  <conditionalFormatting sqref="B13:B24">
    <cfRule type="expression" dxfId="3104" priority="6">
      <formula>$C13&gt;0</formula>
    </cfRule>
  </conditionalFormatting>
  <conditionalFormatting sqref="B25:B39">
    <cfRule type="expression" dxfId="3103" priority="5">
      <formula>$C25&gt;0</formula>
    </cfRule>
  </conditionalFormatting>
  <conditionalFormatting sqref="B40:B42">
    <cfRule type="expression" dxfId="3102" priority="4">
      <formula>$C40&gt;0</formula>
    </cfRule>
  </conditionalFormatting>
  <conditionalFormatting sqref="B43:B50">
    <cfRule type="expression" dxfId="3101" priority="1">
      <formula>$C43&gt;0</formula>
    </cfRule>
  </conditionalFormatting>
  <conditionalFormatting sqref="B51:B54">
    <cfRule type="expression" dxfId="3100" priority="3">
      <formula>$C51&gt;0</formula>
    </cfRule>
  </conditionalFormatting>
  <conditionalFormatting sqref="B57:B66">
    <cfRule type="expression" dxfId="3099" priority="2">
      <formula>$C57&gt;0</formula>
    </cfRule>
  </conditionalFormatting>
  <conditionalFormatting sqref="C13:C54">
    <cfRule type="cellIs" dxfId="3098" priority="10" operator="lessThan">
      <formula>1</formula>
    </cfRule>
  </conditionalFormatting>
  <conditionalFormatting sqref="C57:C66">
    <cfRule type="cellIs" dxfId="3097" priority="26" operator="equal">
      <formula>0</formula>
    </cfRule>
  </conditionalFormatting>
  <conditionalFormatting sqref="C9:D9">
    <cfRule type="cellIs" dxfId="3096" priority="20" operator="lessThan">
      <formula>0</formula>
    </cfRule>
    <cfRule type="cellIs" dxfId="3095" priority="21" operator="greaterThan">
      <formula>0</formula>
    </cfRule>
  </conditionalFormatting>
  <conditionalFormatting sqref="F13:F54">
    <cfRule type="expression" dxfId="3094" priority="9">
      <formula>C13&gt;0</formula>
    </cfRule>
  </conditionalFormatting>
  <conditionalFormatting sqref="F57:F66">
    <cfRule type="expression" dxfId="3093" priority="19">
      <formula>C57&gt;0</formula>
    </cfRule>
  </conditionalFormatting>
  <conditionalFormatting sqref="F58:F66">
    <cfRule type="expression" dxfId="3092" priority="25">
      <formula>C58&lt;1</formula>
    </cfRule>
  </conditionalFormatting>
  <conditionalFormatting sqref="G13:G54">
    <cfRule type="cellIs" dxfId="3091" priority="8" operator="greaterThan">
      <formula>0</formula>
    </cfRule>
  </conditionalFormatting>
  <conditionalFormatting sqref="G57:G66">
    <cfRule type="cellIs" dxfId="3090" priority="18" operator="greaterThan">
      <formula>0</formula>
    </cfRule>
  </conditionalFormatting>
  <conditionalFormatting sqref="H13:H54">
    <cfRule type="expression" dxfId="3089" priority="15">
      <formula>$C$9&gt;0</formula>
    </cfRule>
    <cfRule type="expression" dxfId="3088" priority="16">
      <formula>$C$9&lt;0</formula>
    </cfRule>
  </conditionalFormatting>
  <conditionalFormatting sqref="H57:H66">
    <cfRule type="expression" dxfId="3087" priority="32">
      <formula>$C$9&lt;0</formula>
    </cfRule>
    <cfRule type="expression" dxfId="3086" priority="31">
      <formula>$C$9&gt;0</formula>
    </cfRule>
  </conditionalFormatting>
  <conditionalFormatting sqref="J2:J6 J75:J1048576">
    <cfRule type="expression" dxfId="3085" priority="27">
      <formula>$B$9="EURO"</formula>
    </cfRule>
  </conditionalFormatting>
  <conditionalFormatting sqref="J8:J67">
    <cfRule type="expression" dxfId="3084" priority="11">
      <formula>$B$9="EURO"</formula>
    </cfRule>
  </conditionalFormatting>
  <conditionalFormatting sqref="J9 J56:J66">
    <cfRule type="expression" dxfId="3083" priority="28">
      <formula>$B$9="USD"</formula>
    </cfRule>
    <cfRule type="expression" dxfId="3082" priority="29">
      <formula>$B$9="PLN"</formula>
    </cfRule>
    <cfRule type="expression" dxfId="3081" priority="30">
      <formula>$B$9="CZK"</formula>
    </cfRule>
  </conditionalFormatting>
  <conditionalFormatting sqref="J12:J54">
    <cfRule type="expression" dxfId="3080" priority="14">
      <formula>$B$9="CZK"</formula>
    </cfRule>
    <cfRule type="expression" dxfId="3079" priority="13">
      <formula>$B$9="PLN"</formula>
    </cfRule>
    <cfRule type="expression" dxfId="3078" priority="12">
      <formula>$B$9="USD"</formula>
    </cfRule>
  </conditionalFormatting>
  <conditionalFormatting sqref="J68:J74">
    <cfRule type="expression" dxfId="3077" priority="22">
      <formula>$F$10="EURO"</formula>
    </cfRule>
  </conditionalFormatting>
  <conditionalFormatting sqref="J13:K54">
    <cfRule type="cellIs" dxfId="3076" priority="7" operator="greaterThan">
      <formula>0</formula>
    </cfRule>
  </conditionalFormatting>
  <conditionalFormatting sqref="J57:K66">
    <cfRule type="cellIs" dxfId="3075" priority="17" operator="greaterThan">
      <formula>0</formula>
    </cfRule>
  </conditionalFormatting>
  <dataValidations count="1">
    <dataValidation type="list" allowBlank="1" showInputMessage="1" showErrorMessage="1" sqref="D55" xr:uid="{00000000-0002-0000-3A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IF('[7]CANOPY (14)'!C3="","",'[7]CANOPY (14)'!C3)</f>
        <v>#REF!</v>
      </c>
      <c r="D3" s="979"/>
      <c r="E3" s="103" t="s">
        <v>4</v>
      </c>
      <c r="F3" s="935" t="e">
        <f>IF('[7]CANOPY (14)'!G3="","",'[7]CANOPY (14)'!G3)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IF('[7]CANOPY (14)'!C5="","",'[7]CANOPY (14)'!C5)</f>
        <v>#REF!</v>
      </c>
      <c r="D5" s="979"/>
      <c r="E5" s="103" t="s">
        <v>8</v>
      </c>
      <c r="F5" s="935" t="e">
        <f>IF('[7]CANOPY (14)'!G5="","",'[7]CANOPY (14)'!G5)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IF('[7]CANOPY (14)'!C7="","",'[7]CANOPY (14)'!C7)</f>
        <v>#REF!</v>
      </c>
      <c r="D7" s="979"/>
      <c r="E7" s="103" t="s">
        <v>12</v>
      </c>
      <c r="F7" s="939" t="e">
        <f>IF('[7]CANOPY (14)'!G7="","",'[7]CANOPY (14)'!G7)</f>
        <v>#REF!</v>
      </c>
      <c r="G7" s="979"/>
      <c r="H7" s="245"/>
      <c r="J7" s="240" t="s">
        <v>14</v>
      </c>
      <c r="K7" s="787" t="e">
        <f>IF('[7]CANOPY (14)'!O7="","",'[7]CANOPY (14)'!O7)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3074" priority="27">
      <formula>B9="CURRENCY"</formula>
    </cfRule>
    <cfRule type="containsText" dxfId="3073" priority="26" operator="containsText" text="SELECT">
      <formula>NOT(ISERROR(SEARCH("SELECT",B9)))</formula>
    </cfRule>
  </conditionalFormatting>
  <conditionalFormatting sqref="B13:B24">
    <cfRule type="expression" dxfId="3072" priority="4">
      <formula>$C13&gt;0</formula>
    </cfRule>
  </conditionalFormatting>
  <conditionalFormatting sqref="B25:B39">
    <cfRule type="expression" dxfId="3071" priority="3">
      <formula>$C25&gt;0</formula>
    </cfRule>
  </conditionalFormatting>
  <conditionalFormatting sqref="B40:B54">
    <cfRule type="expression" dxfId="3070" priority="2">
      <formula>$C40&gt;0</formula>
    </cfRule>
  </conditionalFormatting>
  <conditionalFormatting sqref="B57:B66">
    <cfRule type="expression" dxfId="3069" priority="1">
      <formula>$C57&gt;0</formula>
    </cfRule>
  </conditionalFormatting>
  <conditionalFormatting sqref="C13:C54">
    <cfRule type="cellIs" dxfId="3068" priority="13" operator="lessThan">
      <formula>1</formula>
    </cfRule>
  </conditionalFormatting>
  <conditionalFormatting sqref="C57:C66">
    <cfRule type="cellIs" dxfId="3067" priority="29" operator="equal">
      <formula>0</formula>
    </cfRule>
  </conditionalFormatting>
  <conditionalFormatting sqref="C9:D9">
    <cfRule type="cellIs" dxfId="3066" priority="24" operator="greaterThan">
      <formula>0</formula>
    </cfRule>
    <cfRule type="cellIs" dxfId="3065" priority="23" operator="lessThan">
      <formula>0</formula>
    </cfRule>
  </conditionalFormatting>
  <conditionalFormatting sqref="F13:F54">
    <cfRule type="expression" dxfId="3064" priority="12">
      <formula>C13&gt;0</formula>
    </cfRule>
  </conditionalFormatting>
  <conditionalFormatting sqref="F57:F66">
    <cfRule type="expression" dxfId="3063" priority="22">
      <formula>C57&gt;0</formula>
    </cfRule>
  </conditionalFormatting>
  <conditionalFormatting sqref="F58:F66">
    <cfRule type="expression" dxfId="3062" priority="28">
      <formula>C58&lt;1</formula>
    </cfRule>
  </conditionalFormatting>
  <conditionalFormatting sqref="G13:G54">
    <cfRule type="cellIs" dxfId="3061" priority="11" operator="greaterThan">
      <formula>0</formula>
    </cfRule>
  </conditionalFormatting>
  <conditionalFormatting sqref="G57:G66">
    <cfRule type="cellIs" dxfId="3060" priority="21" operator="greaterThan">
      <formula>0</formula>
    </cfRule>
  </conditionalFormatting>
  <conditionalFormatting sqref="H13:H54">
    <cfRule type="expression" dxfId="3059" priority="18">
      <formula>$C$9&gt;0</formula>
    </cfRule>
    <cfRule type="expression" dxfId="3058" priority="19">
      <formula>$C$9&lt;0</formula>
    </cfRule>
  </conditionalFormatting>
  <conditionalFormatting sqref="H57:H66">
    <cfRule type="expression" dxfId="3057" priority="34">
      <formula>$C$9&gt;0</formula>
    </cfRule>
    <cfRule type="expression" dxfId="3056" priority="35">
      <formula>$C$9&lt;0</formula>
    </cfRule>
  </conditionalFormatting>
  <conditionalFormatting sqref="J2:J6 J75:J1048576">
    <cfRule type="expression" dxfId="3055" priority="30">
      <formula>$B$9="EURO"</formula>
    </cfRule>
  </conditionalFormatting>
  <conditionalFormatting sqref="J8:J67">
    <cfRule type="expression" dxfId="3054" priority="14">
      <formula>$B$9="EURO"</formula>
    </cfRule>
  </conditionalFormatting>
  <conditionalFormatting sqref="J9 J56:J66">
    <cfRule type="expression" dxfId="3053" priority="31">
      <formula>$B$9="USD"</formula>
    </cfRule>
    <cfRule type="expression" dxfId="3052" priority="32">
      <formula>$B$9="PLN"</formula>
    </cfRule>
    <cfRule type="expression" dxfId="3051" priority="33">
      <formula>$B$9="CZK"</formula>
    </cfRule>
  </conditionalFormatting>
  <conditionalFormatting sqref="J12:J54">
    <cfRule type="expression" dxfId="3050" priority="17">
      <formula>$B$9="CZK"</formula>
    </cfRule>
    <cfRule type="expression" dxfId="3049" priority="16">
      <formula>$B$9="PLN"</formula>
    </cfRule>
    <cfRule type="expression" dxfId="3048" priority="15">
      <formula>$B$9="USD"</formula>
    </cfRule>
  </conditionalFormatting>
  <conditionalFormatting sqref="J68:J74">
    <cfRule type="expression" dxfId="3047" priority="25">
      <formula>$F$10="EURO"</formula>
    </cfRule>
  </conditionalFormatting>
  <conditionalFormatting sqref="J13:K54">
    <cfRule type="cellIs" dxfId="3046" priority="10" operator="greaterThan">
      <formula>0</formula>
    </cfRule>
  </conditionalFormatting>
  <conditionalFormatting sqref="J57:K66">
    <cfRule type="cellIs" dxfId="3045" priority="20" operator="greaterThan">
      <formula>0</formula>
    </cfRule>
  </conditionalFormatting>
  <conditionalFormatting sqref="M12:P54">
    <cfRule type="expression" dxfId="3044" priority="9">
      <formula>$B$9="CZK"</formula>
    </cfRule>
    <cfRule type="expression" dxfId="3043" priority="8">
      <formula>$B$9="PLN"</formula>
    </cfRule>
    <cfRule type="expression" dxfId="3042" priority="7">
      <formula>$B$9="USD"</formula>
    </cfRule>
    <cfRule type="expression" dxfId="3041" priority="6">
      <formula>$B$9="EURO"</formula>
    </cfRule>
  </conditionalFormatting>
  <conditionalFormatting sqref="M13:P54">
    <cfRule type="cellIs" dxfId="3040" priority="5" operator="greaterThan">
      <formula>0</formula>
    </cfRule>
  </conditionalFormatting>
  <dataValidations count="3">
    <dataValidation type="list" allowBlank="1" showInputMessage="1" showErrorMessage="1" sqref="D13" xr:uid="{00000000-0002-0000-3B00-000000000000}">
      <formula1>FanSize</formula1>
    </dataValidation>
    <dataValidation type="list" allowBlank="1" showInputMessage="1" showErrorMessage="1" sqref="D55" xr:uid="{00000000-0002-0000-3B00-000001000000}">
      <formula1>$B$3:$B$15</formula1>
    </dataValidation>
    <dataValidation type="list" allowBlank="1" showInputMessage="1" showErrorMessage="1" sqref="D26" xr:uid="{00000000-0002-0000-3B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IF('[7]CANOPY (14)'!C3="","",'[7]CANOPY (14)'!C3)</f>
        <v>#REF!</v>
      </c>
      <c r="D3" s="979"/>
      <c r="E3" s="122" t="s">
        <v>4</v>
      </c>
      <c r="F3" s="987" t="e">
        <f>IF('[7]CANOPY (14)'!G3="","",'[7]CANOPY (14)'!G3)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IF('[7]CANOPY (14)'!C5="","",'[7]CANOPY (14)'!C5)</f>
        <v>#REF!</v>
      </c>
      <c r="D5" s="979"/>
      <c r="E5" s="122" t="s">
        <v>8</v>
      </c>
      <c r="F5" s="987" t="e">
        <f>IF('[7]CANOPY (14)'!G5="","",'[7]CANOPY (14)'!G5)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IF('[7]CANOPY (14)'!C7="","",'[7]CANOPY (14)'!C7)</f>
        <v>#REF!</v>
      </c>
      <c r="D7" s="979"/>
      <c r="E7" s="122" t="s">
        <v>12</v>
      </c>
      <c r="F7" s="989" t="e">
        <f>IF('[7]CANOPY (14)'!G7="","",'[7]CANOPY (14)'!G7)</f>
        <v>#REF!</v>
      </c>
      <c r="G7" s="979"/>
      <c r="H7" s="979"/>
      <c r="J7" s="197" t="s">
        <v>14</v>
      </c>
      <c r="K7" s="484" t="e">
        <f>IF('[7]CANOPY (14)'!O7="","",'[7]CANOPY (14)'!O7)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3039" priority="8" operator="containsText" text="SELECT">
      <formula>NOT(ISERROR(SEARCH("SELECT",B10)))</formula>
    </cfRule>
    <cfRule type="expression" dxfId="3038" priority="9">
      <formula>B10="CURRENCY"</formula>
    </cfRule>
  </conditionalFormatting>
  <conditionalFormatting sqref="B14:B41">
    <cfRule type="expression" dxfId="3037" priority="2">
      <formula>$C14&gt;0</formula>
    </cfRule>
  </conditionalFormatting>
  <conditionalFormatting sqref="B44:B55">
    <cfRule type="expression" dxfId="3036" priority="1">
      <formula>$C44&gt;0</formula>
    </cfRule>
  </conditionalFormatting>
  <conditionalFormatting sqref="C14:C41 C44:C55">
    <cfRule type="cellIs" dxfId="3035" priority="12" operator="equal">
      <formula>0</formula>
    </cfRule>
  </conditionalFormatting>
  <conditionalFormatting sqref="C10:D10">
    <cfRule type="cellIs" dxfId="3034" priority="6" operator="lessThan">
      <formula>0</formula>
    </cfRule>
    <cfRule type="cellIs" dxfId="3033" priority="7" operator="greaterThan">
      <formula>0</formula>
    </cfRule>
  </conditionalFormatting>
  <conditionalFormatting sqref="E12:E13">
    <cfRule type="cellIs" dxfId="3032" priority="10" operator="greaterThan">
      <formula>0</formula>
    </cfRule>
    <cfRule type="cellIs" dxfId="3031" priority="11" operator="lessThan">
      <formula>0</formula>
    </cfRule>
  </conditionalFormatting>
  <conditionalFormatting sqref="F14:F41 F44:F55">
    <cfRule type="expression" dxfId="3030" priority="5">
      <formula>C14&gt;0</formula>
    </cfRule>
  </conditionalFormatting>
  <conditionalFormatting sqref="G14:G41 G44:G55">
    <cfRule type="cellIs" dxfId="3029" priority="4" operator="greaterThan">
      <formula>0</formula>
    </cfRule>
  </conditionalFormatting>
  <conditionalFormatting sqref="H14:H41 H44:H55">
    <cfRule type="expression" dxfId="3028" priority="17">
      <formula>$C$10&lt;0</formula>
    </cfRule>
    <cfRule type="expression" dxfId="3027" priority="18">
      <formula>$C$10&gt;0</formula>
    </cfRule>
  </conditionalFormatting>
  <conditionalFormatting sqref="J1:J6 J8:J11 J13:J1048576">
    <cfRule type="expression" dxfId="3026" priority="13">
      <formula>$B$10="EURO"</formula>
    </cfRule>
  </conditionalFormatting>
  <conditionalFormatting sqref="J10 J13:J41 J43:J55">
    <cfRule type="expression" dxfId="3025" priority="14">
      <formula>$B$10="PLN"</formula>
    </cfRule>
    <cfRule type="expression" dxfId="3024" priority="15">
      <formula>$B$10="CZK"</formula>
    </cfRule>
    <cfRule type="expression" dxfId="3023" priority="16">
      <formula>$B$10="USD"</formula>
    </cfRule>
  </conditionalFormatting>
  <conditionalFormatting sqref="J14:K41 J44:K56">
    <cfRule type="cellIs" dxfId="3022" priority="3" operator="greaterThan">
      <formula>0</formula>
    </cfRule>
  </conditionalFormatting>
  <dataValidations count="1">
    <dataValidation type="list" allowBlank="1" showInputMessage="1" showErrorMessage="1" sqref="F12:F13" xr:uid="{00000000-0002-0000-3C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IF('[7]CANOPY (14)'!C3="","",'[7]CANOPY (14)'!C3)</f>
        <v>#REF!</v>
      </c>
      <c r="D3" s="990"/>
      <c r="E3" s="129"/>
      <c r="F3" s="132" t="s">
        <v>4</v>
      </c>
      <c r="G3" s="938" t="e">
        <f>IF('[7]CANOPY (14)'!G3="","",'[7]CANOPY (14)'!G3)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IF('[7]CANOPY (14)'!C5="","",'[7]CANOPY (14)'!C5)</f>
        <v>#REF!</v>
      </c>
      <c r="D5" s="990"/>
      <c r="E5" s="131"/>
      <c r="F5" s="132" t="s">
        <v>8</v>
      </c>
      <c r="G5" s="938" t="e">
        <f>IF('[7]CANOPY (14)'!G5="","",'[7]CANOPY (14)'!G5)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IF('[7]CANOPY (14)'!C7="","",'[7]CANOPY (14)'!C7)</f>
        <v>#REF!</v>
      </c>
      <c r="D7" s="990"/>
      <c r="E7" s="135"/>
      <c r="F7" s="136" t="s">
        <v>12</v>
      </c>
      <c r="G7" s="939" t="e">
        <f>IF('[7]CANOPY (14)'!G7="","",'[7]CANOPY (14)'!G7)</f>
        <v>#REF!</v>
      </c>
      <c r="H7" s="990"/>
      <c r="I7" s="51"/>
      <c r="J7" s="280"/>
      <c r="K7" s="280" t="s">
        <v>14</v>
      </c>
      <c r="L7" s="484" t="e">
        <f>IF('[7]CANOPY (14)'!O7="","",'[7]CANOPY (14)'!O7)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3021" priority="26">
      <formula>B9="CURRENCY"</formula>
    </cfRule>
    <cfRule type="containsText" dxfId="3020" priority="25" operator="containsText" text="SELECT">
      <formula>NOT(ISERROR(SEARCH("SELECT",B9)))</formula>
    </cfRule>
  </conditionalFormatting>
  <conditionalFormatting sqref="B15:B29">
    <cfRule type="expression" dxfId="3019" priority="9">
      <formula>$D15&gt;0</formula>
    </cfRule>
  </conditionalFormatting>
  <conditionalFormatting sqref="B49 E49:F49">
    <cfRule type="expression" dxfId="3018" priority="49">
      <formula>C40="select controls"</formula>
    </cfRule>
  </conditionalFormatting>
  <conditionalFormatting sqref="C13">
    <cfRule type="containsText" dxfId="3017" priority="29" operator="containsText" text="SELECT">
      <formula>NOT(ISERROR(SEARCH("SELECT",C13)))</formula>
    </cfRule>
  </conditionalFormatting>
  <conditionalFormatting sqref="C15:C22">
    <cfRule type="containsText" dxfId="3016" priority="15" operator="containsText" text="SIZE">
      <formula>NOT(ISERROR(SEARCH("SIZE",C15)))</formula>
    </cfRule>
  </conditionalFormatting>
  <conditionalFormatting sqref="C25">
    <cfRule type="containsText" dxfId="3015" priority="37" operator="containsText" text="SELECT CONTROLS">
      <formula>NOT(ISERROR(SEARCH("SELECT CONTROLS",C25)))</formula>
    </cfRule>
  </conditionalFormatting>
  <conditionalFormatting sqref="C26">
    <cfRule type="expression" dxfId="3014" priority="32">
      <formula>$C$25="SMARTEC"</formula>
    </cfRule>
    <cfRule type="containsText" dxfId="3013" priority="31" operator="containsText" text="st/st">
      <formula>NOT(ISERROR(SEARCH("st/st",C26)))</formula>
    </cfRule>
  </conditionalFormatting>
  <conditionalFormatting sqref="C31:C32">
    <cfRule type="cellIs" dxfId="3012" priority="20" operator="greaterThan">
      <formula>0</formula>
    </cfRule>
  </conditionalFormatting>
  <conditionalFormatting sqref="C52:C61">
    <cfRule type="cellIs" dxfId="3011" priority="28" operator="lessThan">
      <formula>1</formula>
    </cfRule>
  </conditionalFormatting>
  <conditionalFormatting sqref="C9:D9">
    <cfRule type="cellIs" dxfId="3010" priority="23" operator="lessThan">
      <formula>0</formula>
    </cfRule>
    <cfRule type="cellIs" dxfId="3009" priority="24" operator="greaterThan">
      <formula>0</formula>
    </cfRule>
  </conditionalFormatting>
  <conditionalFormatting sqref="C29:D29">
    <cfRule type="expression" dxfId="3008" priority="36">
      <formula>$C$25="REMOTE TOUCH SCREEN"</formula>
    </cfRule>
    <cfRule type="expression" dxfId="3007" priority="35">
      <formula>$C$25="SMARTEC"</formula>
    </cfRule>
  </conditionalFormatting>
  <conditionalFormatting sqref="D26">
    <cfRule type="expression" dxfId="3006" priority="33">
      <formula>C25="SMARTEC"</formula>
    </cfRule>
    <cfRule type="expression" dxfId="3005" priority="30">
      <formula>C26="st/st enclosure"</formula>
    </cfRule>
  </conditionalFormatting>
  <conditionalFormatting sqref="D29">
    <cfRule type="expression" dxfId="3004" priority="34">
      <formula>$C$25="SMARTEC"</formula>
    </cfRule>
  </conditionalFormatting>
  <conditionalFormatting sqref="D38">
    <cfRule type="expression" dxfId="3003" priority="48">
      <formula>#REF!="SMARTEC"</formula>
    </cfRule>
    <cfRule type="expression" dxfId="3002" priority="47">
      <formula>C38="st/st enclosure"</formula>
    </cfRule>
  </conditionalFormatting>
  <conditionalFormatting sqref="E39:E43">
    <cfRule type="expression" dxfId="3001" priority="46">
      <formula>#REF!="select controls"</formula>
    </cfRule>
  </conditionalFormatting>
  <conditionalFormatting sqref="E44:F45 B45:B48 E46:E47 E48:F48">
    <cfRule type="expression" dxfId="3000" priority="27">
      <formula>C38="select controls"</formula>
    </cfRule>
  </conditionalFormatting>
  <conditionalFormatting sqref="F40">
    <cfRule type="expression" dxfId="2999" priority="1">
      <formula>G34="select controls"</formula>
    </cfRule>
  </conditionalFormatting>
  <conditionalFormatting sqref="G15:G36">
    <cfRule type="cellIs" dxfId="2998" priority="2" operator="greaterThan">
      <formula>0</formula>
    </cfRule>
  </conditionalFormatting>
  <conditionalFormatting sqref="G38:G49">
    <cfRule type="cellIs" dxfId="2997" priority="18" operator="greaterThan">
      <formula>0</formula>
    </cfRule>
  </conditionalFormatting>
  <conditionalFormatting sqref="G52:G61">
    <cfRule type="expression" dxfId="2996" priority="8">
      <formula>C52&gt;0</formula>
    </cfRule>
  </conditionalFormatting>
  <conditionalFormatting sqref="H13 J13 L13">
    <cfRule type="expression" dxfId="2995" priority="38">
      <formula>$B$9="EURO"</formula>
    </cfRule>
  </conditionalFormatting>
  <conditionalFormatting sqref="H15:H61">
    <cfRule type="cellIs" dxfId="2994" priority="19" operator="greaterThan">
      <formula>0</formula>
    </cfRule>
  </conditionalFormatting>
  <conditionalFormatting sqref="I15:I36 I38:I49 I52:I61">
    <cfRule type="expression" dxfId="2993" priority="44">
      <formula>$C$9&lt;0</formula>
    </cfRule>
    <cfRule type="expression" dxfId="2992" priority="43">
      <formula>$C$9&gt;0</formula>
    </cfRule>
  </conditionalFormatting>
  <conditionalFormatting sqref="J37">
    <cfRule type="expression" dxfId="2991" priority="42">
      <formula>$B$9="EURO"</formula>
    </cfRule>
    <cfRule type="expression" dxfId="2990" priority="41">
      <formula>$B$9="USD"</formula>
    </cfRule>
    <cfRule type="expression" dxfId="2989" priority="40">
      <formula>$B$9="CZK"</formula>
    </cfRule>
    <cfRule type="expression" dxfId="2988" priority="39">
      <formula>$B$9="PLN"</formula>
    </cfRule>
  </conditionalFormatting>
  <conditionalFormatting sqref="J63:J69">
    <cfRule type="expression" dxfId="2987" priority="45">
      <formula>#REF!="EURO"</formula>
    </cfRule>
  </conditionalFormatting>
  <conditionalFormatting sqref="K1:K36">
    <cfRule type="expression" dxfId="2986" priority="5">
      <formula>$B$9="USD"</formula>
    </cfRule>
    <cfRule type="expression" dxfId="2985" priority="4">
      <formula>$B$9="EURO"</formula>
    </cfRule>
    <cfRule type="expression" dxfId="2984" priority="6">
      <formula>$B$9="PLN"</formula>
    </cfRule>
  </conditionalFormatting>
  <conditionalFormatting sqref="K1:K1048576">
    <cfRule type="expression" dxfId="2983" priority="7">
      <formula>$B$9="CZK"</formula>
    </cfRule>
  </conditionalFormatting>
  <conditionalFormatting sqref="K15:K36">
    <cfRule type="cellIs" dxfId="2982" priority="3" operator="greaterThan">
      <formula>0</formula>
    </cfRule>
  </conditionalFormatting>
  <conditionalFormatting sqref="K38:K49">
    <cfRule type="cellIs" dxfId="2981" priority="14" operator="greaterThan">
      <formula>0</formula>
    </cfRule>
  </conditionalFormatting>
  <conditionalFormatting sqref="K38:K1048576">
    <cfRule type="expression" dxfId="2980" priority="11">
      <formula>$B$9="EURO"</formula>
    </cfRule>
    <cfRule type="expression" dxfId="2979" priority="12">
      <formula>$B$9="USD"</formula>
    </cfRule>
    <cfRule type="expression" dxfId="2978" priority="13">
      <formula>$B$9="PLN"</formula>
    </cfRule>
  </conditionalFormatting>
  <conditionalFormatting sqref="K50">
    <cfRule type="cellIs" dxfId="2977" priority="22" operator="greaterThan">
      <formula>0</formula>
    </cfRule>
  </conditionalFormatting>
  <conditionalFormatting sqref="K52:K61">
    <cfRule type="cellIs" dxfId="2976" priority="10" operator="greaterThan">
      <formula>0</formula>
    </cfRule>
  </conditionalFormatting>
  <conditionalFormatting sqref="L15:L36 L52:L61">
    <cfRule type="cellIs" dxfId="2975" priority="21" operator="greaterThan">
      <formula>0</formula>
    </cfRule>
  </conditionalFormatting>
  <conditionalFormatting sqref="L38:L49">
    <cfRule type="cellIs" dxfId="2974" priority="17" operator="greaterThan">
      <formula>0</formula>
    </cfRule>
  </conditionalFormatting>
  <conditionalFormatting sqref="U40">
    <cfRule type="cellIs" dxfId="2973"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3D00-000000000000}">
      <formula1>#REF!</formula1>
    </dataValidation>
    <dataValidation type="list" allowBlank="1" showInputMessage="1" showErrorMessage="1" sqref="C13" xr:uid="{00000000-0002-0000-3D00-000001000000}">
      <formula1>"SELECT MODEL,INTERNAL,EXTERNAL"</formula1>
    </dataValidation>
    <dataValidation type="list" allowBlank="1" showInputMessage="1" showErrorMessage="1" sqref="C25" xr:uid="{00000000-0002-0000-3D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IF('[7]CANOPY (14)'!C3="","",'[7]CANOPY (14)'!C3)</f>
        <v>#REF!</v>
      </c>
      <c r="D3" s="990"/>
      <c r="E3" s="129"/>
      <c r="F3" s="132" t="s">
        <v>4</v>
      </c>
      <c r="G3" s="938" t="e">
        <f>IF('[7]CANOPY (14)'!G3="","",'[7]CANOPY (14)'!G3)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IF('[7]CANOPY (14)'!C5="","",'[7]CANOPY (14)'!C5)</f>
        <v>#REF!</v>
      </c>
      <c r="D5" s="990"/>
      <c r="E5" s="131"/>
      <c r="F5" s="132" t="s">
        <v>8</v>
      </c>
      <c r="G5" s="938" t="e">
        <f>IF('[7]CANOPY (14)'!G5="","",'[7]CANOPY (14)'!G5)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IF('[7]CANOPY (14)'!C7="","",'[7]CANOPY (14)'!C7)</f>
        <v>#REF!</v>
      </c>
      <c r="D7" s="990"/>
      <c r="E7" s="135"/>
      <c r="F7" s="136" t="s">
        <v>12</v>
      </c>
      <c r="G7" s="939" t="e">
        <f>IF('[7]CANOPY (14)'!G7="","",'[7]CANOPY (14)'!G7)</f>
        <v>#REF!</v>
      </c>
      <c r="H7" s="990"/>
      <c r="I7" s="51"/>
      <c r="J7" s="280"/>
      <c r="K7" s="280" t="s">
        <v>14</v>
      </c>
      <c r="L7" s="484" t="e">
        <f>IF('[7]CANOPY (14)'!O7="","",'[7]CANOPY (14)'!O7)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2972" priority="30">
      <formula>B9="CURRENCY"</formula>
    </cfRule>
    <cfRule type="containsText" dxfId="2971" priority="29" operator="containsText" text="SELECT">
      <formula>NOT(ISERROR(SEARCH("SELECT",B9)))</formula>
    </cfRule>
  </conditionalFormatting>
  <conditionalFormatting sqref="B15:B30">
    <cfRule type="expression" dxfId="2970" priority="2">
      <formula>$D15&gt;0</formula>
    </cfRule>
  </conditionalFormatting>
  <conditionalFormatting sqref="B50 E50:F50">
    <cfRule type="expression" dxfId="2969" priority="53">
      <formula>C41="select controls"</formula>
    </cfRule>
  </conditionalFormatting>
  <conditionalFormatting sqref="C13">
    <cfRule type="containsText" dxfId="2968" priority="33" operator="containsText" text="SELECT">
      <formula>NOT(ISERROR(SEARCH("SELECT",C13)))</formula>
    </cfRule>
  </conditionalFormatting>
  <conditionalFormatting sqref="C15:C23">
    <cfRule type="containsText" dxfId="2967" priority="8" operator="containsText" text="SIZE">
      <formula>NOT(ISERROR(SEARCH("SIZE",C15)))</formula>
    </cfRule>
  </conditionalFormatting>
  <conditionalFormatting sqref="C26">
    <cfRule type="containsText" dxfId="2966" priority="41" operator="containsText" text="SELECT CONTROLS">
      <formula>NOT(ISERROR(SEARCH("SELECT CONTROLS",C26)))</formula>
    </cfRule>
  </conditionalFormatting>
  <conditionalFormatting sqref="C27">
    <cfRule type="expression" dxfId="2965" priority="36">
      <formula>$C$26="SMARTEC"</formula>
    </cfRule>
    <cfRule type="containsText" dxfId="2964" priority="35" operator="containsText" text="st/st">
      <formula>NOT(ISERROR(SEARCH("st/st",C27)))</formula>
    </cfRule>
  </conditionalFormatting>
  <conditionalFormatting sqref="C32:C33">
    <cfRule type="cellIs" dxfId="2963" priority="24" operator="greaterThan">
      <formula>0</formula>
    </cfRule>
  </conditionalFormatting>
  <conditionalFormatting sqref="C53:C62">
    <cfRule type="cellIs" dxfId="2962" priority="32" operator="lessThan">
      <formula>1</formula>
    </cfRule>
  </conditionalFormatting>
  <conditionalFormatting sqref="C9:D9">
    <cfRule type="cellIs" dxfId="2961" priority="27" operator="lessThan">
      <formula>0</formula>
    </cfRule>
    <cfRule type="cellIs" dxfId="2960" priority="28" operator="greaterThan">
      <formula>0</formula>
    </cfRule>
  </conditionalFormatting>
  <conditionalFormatting sqref="C30:D30">
    <cfRule type="expression" dxfId="2959" priority="40">
      <formula>$C$26="REMOTE TOUCH SCREEN"</formula>
    </cfRule>
    <cfRule type="expression" dxfId="2958" priority="39">
      <formula>$C$26="SMARTEC"</formula>
    </cfRule>
  </conditionalFormatting>
  <conditionalFormatting sqref="D27">
    <cfRule type="expression" dxfId="2957" priority="37">
      <formula>C26="SMARTEC"</formula>
    </cfRule>
    <cfRule type="expression" dxfId="2956" priority="34">
      <formula>C27="st/st enclosure"</formula>
    </cfRule>
  </conditionalFormatting>
  <conditionalFormatting sqref="D30">
    <cfRule type="expression" dxfId="2955" priority="38">
      <formula>$C$26="SMARTEC"</formula>
    </cfRule>
  </conditionalFormatting>
  <conditionalFormatting sqref="D39">
    <cfRule type="expression" dxfId="2954" priority="52">
      <formula>#REF!="SMARTEC"</formula>
    </cfRule>
    <cfRule type="expression" dxfId="2953" priority="51">
      <formula>C39="st/st enclosure"</formula>
    </cfRule>
  </conditionalFormatting>
  <conditionalFormatting sqref="E40:E44">
    <cfRule type="expression" dxfId="2952" priority="50">
      <formula>#REF!="select controls"</formula>
    </cfRule>
  </conditionalFormatting>
  <conditionalFormatting sqref="E45 E46:F46 B46:B47 E47:E48 B49 E49:F49">
    <cfRule type="expression" dxfId="2951" priority="31">
      <formula>C39="select controls"</formula>
    </cfRule>
  </conditionalFormatting>
  <conditionalFormatting sqref="F41:F45">
    <cfRule type="expression" dxfId="2950" priority="1">
      <formula>G35="select controls"</formula>
    </cfRule>
  </conditionalFormatting>
  <conditionalFormatting sqref="G15:G37">
    <cfRule type="cellIs" dxfId="2949" priority="9" operator="greaterThan">
      <formula>0</formula>
    </cfRule>
  </conditionalFormatting>
  <conditionalFormatting sqref="G39:G50">
    <cfRule type="cellIs" dxfId="2948" priority="14" operator="greaterThan">
      <formula>0</formula>
    </cfRule>
  </conditionalFormatting>
  <conditionalFormatting sqref="G53:G62">
    <cfRule type="expression" dxfId="2947" priority="15">
      <formula>C53&gt;0</formula>
    </cfRule>
  </conditionalFormatting>
  <conditionalFormatting sqref="H13 J13 L13">
    <cfRule type="expression" dxfId="2946" priority="42">
      <formula>$B$9="EURO"</formula>
    </cfRule>
  </conditionalFormatting>
  <conditionalFormatting sqref="H23">
    <cfRule type="cellIs" dxfId="2945" priority="11" operator="greaterThan">
      <formula>0</formula>
    </cfRule>
  </conditionalFormatting>
  <conditionalFormatting sqref="H25:H62">
    <cfRule type="cellIs" dxfId="2944" priority="23" operator="greaterThan">
      <formula>0</formula>
    </cfRule>
  </conditionalFormatting>
  <conditionalFormatting sqref="H15:L22 L53:L62">
    <cfRule type="cellIs" dxfId="2943" priority="25" operator="greaterThan">
      <formula>0</formula>
    </cfRule>
  </conditionalFormatting>
  <conditionalFormatting sqref="I15:I37">
    <cfRule type="expression" dxfId="2942" priority="12">
      <formula>$C$9&gt;0</formula>
    </cfRule>
  </conditionalFormatting>
  <conditionalFormatting sqref="I23:I37">
    <cfRule type="expression" dxfId="2941" priority="13">
      <formula>$C$9&lt;0</formula>
    </cfRule>
  </conditionalFormatting>
  <conditionalFormatting sqref="I39:I50 I53:I62 I15:I22">
    <cfRule type="expression" dxfId="2940" priority="48">
      <formula>$C$9&lt;0</formula>
    </cfRule>
  </conditionalFormatting>
  <conditionalFormatting sqref="I39:I50 I53:I62">
    <cfRule type="expression" dxfId="2939" priority="47">
      <formula>$C$9&gt;0</formula>
    </cfRule>
  </conditionalFormatting>
  <conditionalFormatting sqref="J38">
    <cfRule type="expression" dxfId="2938" priority="43">
      <formula>$B$9="PLN"</formula>
    </cfRule>
    <cfRule type="expression" dxfId="2937" priority="44">
      <formula>$B$9="CZK"</formula>
    </cfRule>
    <cfRule type="expression" dxfId="2936" priority="45">
      <formula>$B$9="USD"</formula>
    </cfRule>
    <cfRule type="expression" dxfId="2935" priority="46">
      <formula>$B$9="EURO"</formula>
    </cfRule>
  </conditionalFormatting>
  <conditionalFormatting sqref="J64:J70">
    <cfRule type="expression" dxfId="2934" priority="49">
      <formula>#REF!="EURO"</formula>
    </cfRule>
  </conditionalFormatting>
  <conditionalFormatting sqref="K1:K37">
    <cfRule type="expression" dxfId="2933" priority="5">
      <formula>$B$9="USD"</formula>
    </cfRule>
    <cfRule type="expression" dxfId="2932" priority="4">
      <formula>$B$9="EURO"</formula>
    </cfRule>
    <cfRule type="expression" dxfId="2931" priority="6">
      <formula>$B$9="PLN"</formula>
    </cfRule>
  </conditionalFormatting>
  <conditionalFormatting sqref="K1:K1048576">
    <cfRule type="expression" dxfId="2930" priority="7">
      <formula>$B$9="CZK"</formula>
    </cfRule>
  </conditionalFormatting>
  <conditionalFormatting sqref="K15:K37">
    <cfRule type="cellIs" dxfId="2929" priority="3" operator="greaterThan">
      <formula>0</formula>
    </cfRule>
  </conditionalFormatting>
  <conditionalFormatting sqref="K39:K50">
    <cfRule type="cellIs" dxfId="2928" priority="20" operator="greaterThan">
      <formula>0</formula>
    </cfRule>
  </conditionalFormatting>
  <conditionalFormatting sqref="K39:K1048576">
    <cfRule type="expression" dxfId="2927" priority="19">
      <formula>$B$9="PLN"</formula>
    </cfRule>
    <cfRule type="expression" dxfId="2926" priority="18">
      <formula>$B$9="USD"</formula>
    </cfRule>
    <cfRule type="expression" dxfId="2925" priority="17">
      <formula>$B$9="EURO"</formula>
    </cfRule>
  </conditionalFormatting>
  <conditionalFormatting sqref="K51">
    <cfRule type="cellIs" dxfId="2924" priority="26" operator="greaterThan">
      <formula>0</formula>
    </cfRule>
  </conditionalFormatting>
  <conditionalFormatting sqref="K53:K62">
    <cfRule type="cellIs" dxfId="2923" priority="16" operator="greaterThan">
      <formula>0</formula>
    </cfRule>
  </conditionalFormatting>
  <conditionalFormatting sqref="L23:L37">
    <cfRule type="cellIs" dxfId="2922" priority="10" operator="greaterThan">
      <formula>0</formula>
    </cfRule>
  </conditionalFormatting>
  <conditionalFormatting sqref="L39:L50">
    <cfRule type="cellIs" dxfId="2921" priority="22" operator="greaterThan">
      <formula>0</formula>
    </cfRule>
  </conditionalFormatting>
  <conditionalFormatting sqref="T41">
    <cfRule type="cellIs" dxfId="2920" priority="21" operator="greaterThan">
      <formula>0</formula>
    </cfRule>
  </conditionalFormatting>
  <dataValidations count="3">
    <dataValidation type="list" allowBlank="1" showInputMessage="1" showErrorMessage="1" sqref="C26" xr:uid="{00000000-0002-0000-3E00-000000000000}">
      <formula1>"SELECT CONTROLS,SMARTEC, REMOTE TOUCH SCREEN"</formula1>
    </dataValidation>
    <dataValidation type="list" allowBlank="1" showInputMessage="1" showErrorMessage="1" sqref="C13" xr:uid="{00000000-0002-0000-3E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3E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IF('[7]CANOPY (14)'!C3="","",'[7]CANOPY (14)'!C3)</f>
        <v>#REF!</v>
      </c>
      <c r="E3" s="934"/>
      <c r="G3" s="71" t="s">
        <v>4</v>
      </c>
      <c r="H3" s="935" t="e">
        <f>IF('[7]CANOPY (14)'!G3="","",'[7]CANOPY (14)'!G3)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IF('[7]CANOPY (14)'!C5="","",'[7]CANOPY (14)'!C5)</f>
        <v>#REF!</v>
      </c>
      <c r="E5" s="934"/>
      <c r="G5" s="71" t="s">
        <v>8</v>
      </c>
      <c r="H5" s="935" t="e">
        <f>IF('[7]CANOPY (14)'!G5="","",'[7]CANOPY (14)'!G5)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IF('[7]CANOPY (14)'!C7="","",'[7]CANOPY (14)'!C7)</f>
        <v>#REF!</v>
      </c>
      <c r="E7" s="934"/>
      <c r="G7" s="71" t="s">
        <v>12</v>
      </c>
      <c r="H7" s="939" t="e">
        <f>IF('[7]CANOPY (14)'!G7="","",'[7]CANOPY (14)'!G7)</f>
        <v>#REF!</v>
      </c>
      <c r="I7" s="936"/>
      <c r="J7" s="937"/>
      <c r="N7" s="266" t="s">
        <v>14</v>
      </c>
      <c r="O7" s="787" t="e">
        <f>IF('[7]CANOPY (14)'!O7="","",'[7]CANOPY (14)'!O7)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2919" priority="26">
      <formula>C9="CURRENCY"</formula>
    </cfRule>
    <cfRule type="containsText" dxfId="2918" priority="25" operator="containsText" text="SELECT">
      <formula>NOT(ISERROR(SEARCH("SELECT",C9)))</formula>
    </cfRule>
  </conditionalFormatting>
  <conditionalFormatting sqref="C14:C23">
    <cfRule type="expression" dxfId="2917" priority="1">
      <formula>$J14&gt;0</formula>
    </cfRule>
  </conditionalFormatting>
  <conditionalFormatting sqref="C27:C37">
    <cfRule type="expression" dxfId="2916" priority="10">
      <formula>$D27&gt;0</formula>
    </cfRule>
  </conditionalFormatting>
  <conditionalFormatting sqref="D27:D28 D30:D37">
    <cfRule type="cellIs" dxfId="2915" priority="27" operator="lessThan">
      <formula>1</formula>
    </cfRule>
  </conditionalFormatting>
  <conditionalFormatting sqref="D29">
    <cfRule type="cellIs" dxfId="2914" priority="22" operator="lessThan">
      <formula>1</formula>
    </cfRule>
  </conditionalFormatting>
  <conditionalFormatting sqref="D9:E9">
    <cfRule type="cellIs" dxfId="2913" priority="23" operator="lessThan">
      <formula>0</formula>
    </cfRule>
    <cfRule type="cellIs" dxfId="2912" priority="24" operator="greaterThan">
      <formula>0</formula>
    </cfRule>
  </conditionalFormatting>
  <conditionalFormatting sqref="F12">
    <cfRule type="cellIs" dxfId="2911" priority="37" operator="greaterThan">
      <formula>2000</formula>
    </cfRule>
    <cfRule type="expression" dxfId="2910" priority="36">
      <formula>ISNUMBER(SEARCH("I-MUAP",#REF!))</formula>
    </cfRule>
    <cfRule type="expression" dxfId="2909" priority="35">
      <formula>AND((ISNUMBER(SEARCH("I-MUAP",#REF!))),F12&lt;2500)</formula>
    </cfRule>
  </conditionalFormatting>
  <conditionalFormatting sqref="F12:G12">
    <cfRule type="cellIs" dxfId="2908" priority="28" operator="lessThan">
      <formula>1000</formula>
    </cfRule>
  </conditionalFormatting>
  <conditionalFormatting sqref="F14:G19">
    <cfRule type="cellIs" dxfId="2907" priority="3" operator="lessThan">
      <formula>1000</formula>
    </cfRule>
  </conditionalFormatting>
  <conditionalFormatting sqref="G12">
    <cfRule type="cellIs" dxfId="2906" priority="29" operator="greaterThan">
      <formula>3001</formula>
    </cfRule>
  </conditionalFormatting>
  <conditionalFormatting sqref="H11">
    <cfRule type="expression" dxfId="2905" priority="38">
      <formula>((#REF!-50)/#REF!)&lt;950</formula>
    </cfRule>
  </conditionalFormatting>
  <conditionalFormatting sqref="H12">
    <cfRule type="expression" dxfId="2904" priority="39">
      <formula>((#REF!-50)/#REF!)&lt;950</formula>
    </cfRule>
  </conditionalFormatting>
  <conditionalFormatting sqref="H14:H19">
    <cfRule type="cellIs" dxfId="2903" priority="4" operator="lessThan">
      <formula>400</formula>
    </cfRule>
  </conditionalFormatting>
  <conditionalFormatting sqref="H24">
    <cfRule type="expression" dxfId="2902" priority="34">
      <formula>((#REF!-50)/#REF!)&lt;950</formula>
    </cfRule>
  </conditionalFormatting>
  <conditionalFormatting sqref="J14:J21">
    <cfRule type="cellIs" dxfId="2901" priority="15" operator="greaterThan">
      <formula>0</formula>
    </cfRule>
  </conditionalFormatting>
  <conditionalFormatting sqref="J27:J37">
    <cfRule type="expression" dxfId="2900" priority="16">
      <formula>D27&gt;0</formula>
    </cfRule>
  </conditionalFormatting>
  <conditionalFormatting sqref="J39:J45">
    <cfRule type="expression" dxfId="2899" priority="44">
      <formula>#REF!="EURO"</formula>
    </cfRule>
  </conditionalFormatting>
  <conditionalFormatting sqref="K14:K23 N14:O23">
    <cfRule type="cellIs" dxfId="2898" priority="2" operator="greaterThan">
      <formula>0</formula>
    </cfRule>
  </conditionalFormatting>
  <conditionalFormatting sqref="K27:K37">
    <cfRule type="cellIs" dxfId="2897" priority="21" operator="greaterThan">
      <formula>0</formula>
    </cfRule>
  </conditionalFormatting>
  <conditionalFormatting sqref="K39:K45">
    <cfRule type="expression" dxfId="2896" priority="40">
      <formula>$C$9="PLN"</formula>
    </cfRule>
    <cfRule type="expression" dxfId="2895" priority="41">
      <formula>$C$9="CZK"</formula>
    </cfRule>
    <cfRule type="expression" dxfId="2894" priority="42">
      <formula>$C$9="USD"</formula>
    </cfRule>
    <cfRule type="expression" dxfId="2893" priority="43">
      <formula>$C$9="EURO"</formula>
    </cfRule>
  </conditionalFormatting>
  <conditionalFormatting sqref="L14:L23">
    <cfRule type="expression" dxfId="2892" priority="14">
      <formula>$D$9&gt;0</formula>
    </cfRule>
    <cfRule type="expression" dxfId="2891" priority="13">
      <formula>$D$9&lt;0</formula>
    </cfRule>
  </conditionalFormatting>
  <conditionalFormatting sqref="L27:L37">
    <cfRule type="expression" dxfId="2890" priority="12">
      <formula>$D$9&gt;0</formula>
    </cfRule>
    <cfRule type="expression" dxfId="2889" priority="11">
      <formula>$D$9&lt;0</formula>
    </cfRule>
  </conditionalFormatting>
  <conditionalFormatting sqref="N9 N12">
    <cfRule type="expression" dxfId="2888" priority="30">
      <formula>$C$9="PLN"</formula>
    </cfRule>
    <cfRule type="expression" dxfId="2887" priority="31">
      <formula>$C$9="CZK"</formula>
    </cfRule>
    <cfRule type="expression" dxfId="2886" priority="32">
      <formula>$C$9="USD"</formula>
    </cfRule>
    <cfRule type="expression" dxfId="2885" priority="33">
      <formula>$C$9="EURO"</formula>
    </cfRule>
  </conditionalFormatting>
  <conditionalFormatting sqref="N14:N23">
    <cfRule type="expression" dxfId="2884" priority="20">
      <formula>$C$9="EURO"</formula>
    </cfRule>
    <cfRule type="expression" dxfId="2883" priority="19">
      <formula>$C$9="USD"</formula>
    </cfRule>
    <cfRule type="expression" dxfId="2882" priority="18">
      <formula>$C$9="CZK"</formula>
    </cfRule>
    <cfRule type="expression" dxfId="2881" priority="17">
      <formula>$C$9="PLN"</formula>
    </cfRule>
  </conditionalFormatting>
  <conditionalFormatting sqref="N26:N37">
    <cfRule type="expression" dxfId="2880" priority="6">
      <formula>$C$9="PLN"</formula>
    </cfRule>
    <cfRule type="expression" dxfId="2879" priority="7">
      <formula>$C$9="CZK"</formula>
    </cfRule>
    <cfRule type="expression" dxfId="2878" priority="9">
      <formula>$C$9="EURO"</formula>
    </cfRule>
    <cfRule type="expression" dxfId="2877" priority="8">
      <formula>$C$9="USD"</formula>
    </cfRule>
  </conditionalFormatting>
  <conditionalFormatting sqref="N27:O37">
    <cfRule type="cellIs" dxfId="2876" priority="5" operator="greaterThan">
      <formula>0</formula>
    </cfRule>
  </conditionalFormatting>
  <dataValidations count="3">
    <dataValidation operator="greaterThan" allowBlank="1" showInputMessage="1" showErrorMessage="1" sqref="F14:F19" xr:uid="{00000000-0002-0000-3F00-000000000000}"/>
    <dataValidation type="list" allowBlank="1" showInputMessage="1" showErrorMessage="1" sqref="E14:E23" xr:uid="{00000000-0002-0000-3F00-000001000000}">
      <formula1>"0,1,2,3,4,5,6,7,8,9,10,11,12,13,14,15,16,17,18,19,20"</formula1>
    </dataValidation>
    <dataValidation type="list" allowBlank="1" showInputMessage="1" showErrorMessage="1" sqref="H25" xr:uid="{00000000-0002-0000-3F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IF('[7]CANOPY (14)'!C3="","",'[7]CANOPY (14)'!C3)</f>
        <v>#REF!</v>
      </c>
      <c r="E3" s="934"/>
      <c r="G3" s="71" t="s">
        <v>4</v>
      </c>
      <c r="H3" s="935" t="e">
        <f>IF('[7]CANOPY (14)'!G3="","",'[7]CANOPY (14)'!G3)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IF('[7]CANOPY (14)'!C5="","",'[7]CANOPY (14)'!C5)</f>
        <v>#REF!</v>
      </c>
      <c r="E5" s="934"/>
      <c r="G5" s="71" t="s">
        <v>8</v>
      </c>
      <c r="H5" s="935" t="e">
        <f>IF('[7]CANOPY (14)'!G5="","",'[7]CANOPY (14)'!G5)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IF('[7]CANOPY (14)'!C7="","",'[7]CANOPY (14)'!C7)</f>
        <v>#REF!</v>
      </c>
      <c r="E7" s="934"/>
      <c r="G7" s="71" t="s">
        <v>12</v>
      </c>
      <c r="H7" s="939" t="e">
        <f>IF('[7]CANOPY (14)'!G7="","",'[7]CANOPY (14)'!G7)</f>
        <v>#REF!</v>
      </c>
      <c r="I7" s="936"/>
      <c r="J7" s="937"/>
      <c r="N7" s="266" t="s">
        <v>14</v>
      </c>
      <c r="O7" s="787" t="e">
        <f>IF('[7]CANOPY (14)'!O7="","",'[7]CANOPY (14)'!O7)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875" priority="34">
      <formula>C9="CURRENCY"</formula>
    </cfRule>
    <cfRule type="containsText" dxfId="2874" priority="33" operator="containsText" text="SELECT">
      <formula>NOT(ISERROR(SEARCH("SELECT",C9)))</formula>
    </cfRule>
  </conditionalFormatting>
  <conditionalFormatting sqref="C14:C32">
    <cfRule type="expression" dxfId="2873" priority="10">
      <formula>$J14&gt;0</formula>
    </cfRule>
  </conditionalFormatting>
  <conditionalFormatting sqref="C36:C46">
    <cfRule type="expression" dxfId="2872" priority="9">
      <formula>$D36&gt;0</formula>
    </cfRule>
  </conditionalFormatting>
  <conditionalFormatting sqref="D36:D37 D39:D46">
    <cfRule type="cellIs" dxfId="2871" priority="35" operator="lessThan">
      <formula>1</formula>
    </cfRule>
  </conditionalFormatting>
  <conditionalFormatting sqref="D38">
    <cfRule type="cellIs" dxfId="2870" priority="30" operator="lessThan">
      <formula>1</formula>
    </cfRule>
  </conditionalFormatting>
  <conditionalFormatting sqref="D9:E9">
    <cfRule type="cellIs" dxfId="2869" priority="32" operator="greaterThan">
      <formula>0</formula>
    </cfRule>
    <cfRule type="cellIs" dxfId="2868" priority="31" operator="lessThan">
      <formula>0</formula>
    </cfRule>
  </conditionalFormatting>
  <conditionalFormatting sqref="F12">
    <cfRule type="cellIs" dxfId="2867" priority="42" operator="greaterThan">
      <formula>2000</formula>
    </cfRule>
    <cfRule type="expression" dxfId="2866" priority="41">
      <formula>ISNUMBER(SEARCH("I-MUAP",$E$14))</formula>
    </cfRule>
    <cfRule type="expression" dxfId="2865" priority="40">
      <formula>AND((ISNUMBER(SEARCH("I-MUAP",$E$14))),F12&lt;2500)</formula>
    </cfRule>
  </conditionalFormatting>
  <conditionalFormatting sqref="F12:G12">
    <cfRule type="cellIs" dxfId="2864" priority="36" operator="lessThan">
      <formula>1000</formula>
    </cfRule>
  </conditionalFormatting>
  <conditionalFormatting sqref="F14:G26">
    <cfRule type="cellIs" dxfId="2863" priority="2" operator="lessThan">
      <formula>1000</formula>
    </cfRule>
  </conditionalFormatting>
  <conditionalFormatting sqref="G12">
    <cfRule type="cellIs" dxfId="2862" priority="37" operator="greaterThan">
      <formula>3001</formula>
    </cfRule>
  </conditionalFormatting>
  <conditionalFormatting sqref="H11">
    <cfRule type="expression" dxfId="2861" priority="39">
      <formula>((G14-50)/I14)&lt;950</formula>
    </cfRule>
  </conditionalFormatting>
  <conditionalFormatting sqref="H12">
    <cfRule type="expression" dxfId="2860" priority="38">
      <formula>((G14-50)/I14)&lt;950</formula>
    </cfRule>
  </conditionalFormatting>
  <conditionalFormatting sqref="H14:H26">
    <cfRule type="cellIs" dxfId="2859" priority="3" operator="lessThan">
      <formula>400</formula>
    </cfRule>
  </conditionalFormatting>
  <conditionalFormatting sqref="H33">
    <cfRule type="expression" dxfId="2858" priority="47">
      <formula>((#REF!-50)/#REF!)&lt;950</formula>
    </cfRule>
  </conditionalFormatting>
  <conditionalFormatting sqref="J14:J30">
    <cfRule type="cellIs" dxfId="2857" priority="15" operator="greaterThan">
      <formula>0</formula>
    </cfRule>
  </conditionalFormatting>
  <conditionalFormatting sqref="J36:J46">
    <cfRule type="expression" dxfId="2856" priority="23">
      <formula>D36&gt;0</formula>
    </cfRule>
  </conditionalFormatting>
  <conditionalFormatting sqref="J48:J54">
    <cfRule type="expression" dxfId="2855" priority="28">
      <formula>#REF!="EURO"</formula>
    </cfRule>
  </conditionalFormatting>
  <conditionalFormatting sqref="K14:K32">
    <cfRule type="cellIs" dxfId="2854" priority="1" operator="greaterThan">
      <formula>0</formula>
    </cfRule>
  </conditionalFormatting>
  <conditionalFormatting sqref="K36:K46">
    <cfRule type="cellIs" dxfId="2853" priority="29" operator="greaterThan">
      <formula>0</formula>
    </cfRule>
  </conditionalFormatting>
  <conditionalFormatting sqref="K48:K54">
    <cfRule type="expression" dxfId="2852" priority="24">
      <formula>$C$9="PLN"</formula>
    </cfRule>
    <cfRule type="expression" dxfId="2851" priority="25">
      <formula>$C$9="CZK"</formula>
    </cfRule>
    <cfRule type="expression" dxfId="2850" priority="26">
      <formula>$C$9="USD"</formula>
    </cfRule>
    <cfRule type="expression" dxfId="2849" priority="27">
      <formula>$C$9="EURO"</formula>
    </cfRule>
  </conditionalFormatting>
  <conditionalFormatting sqref="L14:L32">
    <cfRule type="expression" dxfId="2848" priority="13">
      <formula>$D$9&lt;0</formula>
    </cfRule>
    <cfRule type="expression" dxfId="2847" priority="14">
      <formula>$D$9&gt;0</formula>
    </cfRule>
  </conditionalFormatting>
  <conditionalFormatting sqref="L36:L46">
    <cfRule type="expression" dxfId="2846" priority="12">
      <formula>$D$9&gt;0</formula>
    </cfRule>
    <cfRule type="expression" dxfId="2845" priority="11">
      <formula>$D$9&lt;0</formula>
    </cfRule>
  </conditionalFormatting>
  <conditionalFormatting sqref="N9 N12">
    <cfRule type="expression" dxfId="2844" priority="43">
      <formula>$C$9="PLN"</formula>
    </cfRule>
    <cfRule type="expression" dxfId="2843" priority="44">
      <formula>$C$9="CZK"</formula>
    </cfRule>
    <cfRule type="expression" dxfId="2842" priority="45">
      <formula>$C$9="USD"</formula>
    </cfRule>
    <cfRule type="expression" dxfId="2841" priority="46">
      <formula>$C$9="EURO"</formula>
    </cfRule>
  </conditionalFormatting>
  <conditionalFormatting sqref="N14:N32">
    <cfRule type="expression" dxfId="2840" priority="20">
      <formula>$C$9="EURO"</formula>
    </cfRule>
    <cfRule type="expression" dxfId="2839" priority="19">
      <formula>$C$9="USD"</formula>
    </cfRule>
    <cfRule type="expression" dxfId="2838" priority="18">
      <formula>$C$9="CZK"</formula>
    </cfRule>
    <cfRule type="expression" dxfId="2837" priority="17">
      <formula>$C$9="PLN"</formula>
    </cfRule>
  </conditionalFormatting>
  <conditionalFormatting sqref="N18:N20">
    <cfRule type="cellIs" dxfId="2836" priority="21" operator="greaterThan">
      <formula>0</formula>
    </cfRule>
  </conditionalFormatting>
  <conditionalFormatting sqref="N35:N46">
    <cfRule type="expression" dxfId="2835" priority="8">
      <formula>$C$9="EURO"</formula>
    </cfRule>
    <cfRule type="expression" dxfId="2834" priority="7">
      <formula>$C$9="USD"</formula>
    </cfRule>
    <cfRule type="expression" dxfId="2833" priority="6">
      <formula>$C$9="CZK"</formula>
    </cfRule>
    <cfRule type="expression" dxfId="2832" priority="5">
      <formula>$C$9="PLN"</formula>
    </cfRule>
  </conditionalFormatting>
  <conditionalFormatting sqref="N14:O32">
    <cfRule type="cellIs" dxfId="2831" priority="16" operator="greaterThan">
      <formula>0</formula>
    </cfRule>
  </conditionalFormatting>
  <conditionalFormatting sqref="N36:O46">
    <cfRule type="cellIs" dxfId="2830" priority="4" operator="greaterThan">
      <formula>0</formula>
    </cfRule>
  </conditionalFormatting>
  <conditionalFormatting sqref="O14:O20">
    <cfRule type="cellIs" dxfId="2829" priority="22" operator="greaterThan">
      <formula>0</formula>
    </cfRule>
  </conditionalFormatting>
  <dataValidations count="3">
    <dataValidation type="list" allowBlank="1" showInputMessage="1" showErrorMessage="1" sqref="H34" xr:uid="{00000000-0002-0000-4000-000000000000}">
      <formula1>#REF!</formula1>
    </dataValidation>
    <dataValidation operator="greaterThan" allowBlank="1" showInputMessage="1" showErrorMessage="1" sqref="F14:F26" xr:uid="{00000000-0002-0000-4000-000001000000}"/>
    <dataValidation type="list" allowBlank="1" showInputMessage="1" showErrorMessage="1" sqref="E14:E32" xr:uid="{00000000-0002-0000-40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IF('[8]CANOPY (15)'!G3="","",'[8]CANOPY (15)'!G3)</f>
        <v>#REF!</v>
      </c>
      <c r="I2" s="975"/>
      <c r="J2" s="975"/>
      <c r="K2" s="975"/>
      <c r="L2" s="976"/>
      <c r="M2" s="483" t="s">
        <v>368</v>
      </c>
      <c r="N2" s="974" t="e">
        <f>IF('[8]CANOPY (15)'!C3="","",'[8]CANOPY (15)'!C3)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IF('[8]CANOPY (15)'!G3="","",'[8]CANOPY (15)'!G3)</f>
        <v>#REF!</v>
      </c>
      <c r="I2" s="975"/>
      <c r="J2" s="975"/>
      <c r="K2" s="975"/>
      <c r="L2" s="976"/>
      <c r="M2" s="483" t="s">
        <v>368</v>
      </c>
      <c r="N2" s="974" t="e">
        <f>IF('[8]CANOPY (15)'!C3="","",'[8]CANOPY (15)'!C3)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IF('[8]CANOPY (15)'!G3="","",'[8]CANOPY (15)'!G3)</f>
        <v>#REF!</v>
      </c>
      <c r="I2" s="975"/>
      <c r="J2" s="975"/>
      <c r="K2" s="975"/>
      <c r="L2" s="976"/>
      <c r="M2" s="483" t="s">
        <v>368</v>
      </c>
      <c r="N2" s="974" t="e">
        <f>IF('[8]CANOPY (15)'!C3="","",'[8]CANOPY (15)'!C3)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IF('[8]CANOPY (15)'!C3="","",'[8]CANOPY (15)'!C3)</f>
        <v>#REF!</v>
      </c>
      <c r="D3" s="979"/>
      <c r="E3" s="103" t="s">
        <v>4</v>
      </c>
      <c r="F3" s="935" t="e">
        <f>IF('[8]CANOPY (15)'!G3="","",'[8]CANOPY (15)'!G3)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IF('[8]CANOPY (15)'!C5="","",'[8]CANOPY (15)'!C5)</f>
        <v>#REF!</v>
      </c>
      <c r="D5" s="979"/>
      <c r="E5" s="103" t="s">
        <v>8</v>
      </c>
      <c r="F5" s="935" t="e">
        <f>IF('[8]CANOPY (15)'!G5="","",'[8]CANOPY (15)'!G5)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IF('[8]CANOPY (15)'!C7="","",'[8]CANOPY (15)'!C7)</f>
        <v>#REF!</v>
      </c>
      <c r="D7" s="979"/>
      <c r="E7" s="103" t="s">
        <v>12</v>
      </c>
      <c r="F7" s="939" t="e">
        <f>IF('[8]CANOPY (15)'!G7="","",'[8]CANOPY (15)'!G7)</f>
        <v>#REF!</v>
      </c>
      <c r="G7" s="979"/>
      <c r="H7" s="245"/>
      <c r="J7" s="240" t="s">
        <v>14</v>
      </c>
      <c r="K7" s="787" t="e">
        <f>IF('[8]CANOPY (15)'!O7="","",'[8]CANOPY (15)'!O7)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2828" priority="24">
      <formula>B9="CURRENCY"</formula>
    </cfRule>
    <cfRule type="containsText" dxfId="2827" priority="23" operator="containsText" text="SELECT">
      <formula>NOT(ISERROR(SEARCH("SELECT",B9)))</formula>
    </cfRule>
  </conditionalFormatting>
  <conditionalFormatting sqref="B13:B24">
    <cfRule type="expression" dxfId="2826" priority="6">
      <formula>$C13&gt;0</formula>
    </cfRule>
  </conditionalFormatting>
  <conditionalFormatting sqref="B25:B39">
    <cfRule type="expression" dxfId="2825" priority="5">
      <formula>$C25&gt;0</formula>
    </cfRule>
  </conditionalFormatting>
  <conditionalFormatting sqref="B40:B42">
    <cfRule type="expression" dxfId="2824" priority="4">
      <formula>$C40&gt;0</formula>
    </cfRule>
  </conditionalFormatting>
  <conditionalFormatting sqref="B43:B50">
    <cfRule type="expression" dxfId="2823" priority="1">
      <formula>$C43&gt;0</formula>
    </cfRule>
  </conditionalFormatting>
  <conditionalFormatting sqref="B51:B54">
    <cfRule type="expression" dxfId="2822" priority="3">
      <formula>$C51&gt;0</formula>
    </cfRule>
  </conditionalFormatting>
  <conditionalFormatting sqref="B57:B66">
    <cfRule type="expression" dxfId="2821" priority="2">
      <formula>$C57&gt;0</formula>
    </cfRule>
  </conditionalFormatting>
  <conditionalFormatting sqref="C13:C54">
    <cfRule type="cellIs" dxfId="2820" priority="10" operator="lessThan">
      <formula>1</formula>
    </cfRule>
  </conditionalFormatting>
  <conditionalFormatting sqref="C57:C66">
    <cfRule type="cellIs" dxfId="2819" priority="26" operator="equal">
      <formula>0</formula>
    </cfRule>
  </conditionalFormatting>
  <conditionalFormatting sqref="C9:D9">
    <cfRule type="cellIs" dxfId="2818" priority="20" operator="lessThan">
      <formula>0</formula>
    </cfRule>
    <cfRule type="cellIs" dxfId="2817" priority="21" operator="greaterThan">
      <formula>0</formula>
    </cfRule>
  </conditionalFormatting>
  <conditionalFormatting sqref="F13:F54">
    <cfRule type="expression" dxfId="2816" priority="9">
      <formula>C13&gt;0</formula>
    </cfRule>
  </conditionalFormatting>
  <conditionalFormatting sqref="F57:F66">
    <cfRule type="expression" dxfId="2815" priority="19">
      <formula>C57&gt;0</formula>
    </cfRule>
  </conditionalFormatting>
  <conditionalFormatting sqref="F58:F66">
    <cfRule type="expression" dxfId="2814" priority="25">
      <formula>C58&lt;1</formula>
    </cfRule>
  </conditionalFormatting>
  <conditionalFormatting sqref="G13:G54">
    <cfRule type="cellIs" dxfId="2813" priority="8" operator="greaterThan">
      <formula>0</formula>
    </cfRule>
  </conditionalFormatting>
  <conditionalFormatting sqref="G57:G66">
    <cfRule type="cellIs" dxfId="2812" priority="18" operator="greaterThan">
      <formula>0</formula>
    </cfRule>
  </conditionalFormatting>
  <conditionalFormatting sqref="H13:H54">
    <cfRule type="expression" dxfId="2811" priority="15">
      <formula>$C$9&gt;0</formula>
    </cfRule>
    <cfRule type="expression" dxfId="2810" priority="16">
      <formula>$C$9&lt;0</formula>
    </cfRule>
  </conditionalFormatting>
  <conditionalFormatting sqref="H57:H66">
    <cfRule type="expression" dxfId="2809" priority="32">
      <formula>$C$9&lt;0</formula>
    </cfRule>
    <cfRule type="expression" dxfId="2808" priority="31">
      <formula>$C$9&gt;0</formula>
    </cfRule>
  </conditionalFormatting>
  <conditionalFormatting sqref="J2:J6 J75:J1048576">
    <cfRule type="expression" dxfId="2807" priority="27">
      <formula>$B$9="EURO"</formula>
    </cfRule>
  </conditionalFormatting>
  <conditionalFormatting sqref="J8:J67">
    <cfRule type="expression" dxfId="2806" priority="11">
      <formula>$B$9="EURO"</formula>
    </cfRule>
  </conditionalFormatting>
  <conditionalFormatting sqref="J9 J56:J66">
    <cfRule type="expression" dxfId="2805" priority="28">
      <formula>$B$9="USD"</formula>
    </cfRule>
    <cfRule type="expression" dxfId="2804" priority="29">
      <formula>$B$9="PLN"</formula>
    </cfRule>
    <cfRule type="expression" dxfId="2803" priority="30">
      <formula>$B$9="CZK"</formula>
    </cfRule>
  </conditionalFormatting>
  <conditionalFormatting sqref="J12:J54">
    <cfRule type="expression" dxfId="2802" priority="14">
      <formula>$B$9="CZK"</formula>
    </cfRule>
    <cfRule type="expression" dxfId="2801" priority="13">
      <formula>$B$9="PLN"</formula>
    </cfRule>
    <cfRule type="expression" dxfId="2800" priority="12">
      <formula>$B$9="USD"</formula>
    </cfRule>
  </conditionalFormatting>
  <conditionalFormatting sqref="J68:J74">
    <cfRule type="expression" dxfId="2799" priority="22">
      <formula>$F$10="EURO"</formula>
    </cfRule>
  </conditionalFormatting>
  <conditionalFormatting sqref="J13:K54">
    <cfRule type="cellIs" dxfId="2798" priority="7" operator="greaterThan">
      <formula>0</formula>
    </cfRule>
  </conditionalFormatting>
  <conditionalFormatting sqref="J57:K66">
    <cfRule type="cellIs" dxfId="2797" priority="17" operator="greaterThan">
      <formula>0</formula>
    </cfRule>
  </conditionalFormatting>
  <dataValidations count="1">
    <dataValidation type="list" allowBlank="1" showInputMessage="1" showErrorMessage="1" sqref="D55" xr:uid="{00000000-0002-0000-44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IF('[8]CANOPY (15)'!C3="","",'[8]CANOPY (15)'!C3)</f>
        <v>#REF!</v>
      </c>
      <c r="D3" s="979"/>
      <c r="E3" s="103" t="s">
        <v>4</v>
      </c>
      <c r="F3" s="935" t="e">
        <f>IF('[8]CANOPY (15)'!G3="","",'[8]CANOPY (15)'!G3)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IF('[8]CANOPY (15)'!C5="","",'[8]CANOPY (15)'!C5)</f>
        <v>#REF!</v>
      </c>
      <c r="D5" s="979"/>
      <c r="E5" s="103" t="s">
        <v>8</v>
      </c>
      <c r="F5" s="935" t="e">
        <f>IF('[8]CANOPY (15)'!G5="","",'[8]CANOPY (15)'!G5)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IF('[8]CANOPY (15)'!C7="","",'[8]CANOPY (15)'!C7)</f>
        <v>#REF!</v>
      </c>
      <c r="D7" s="979"/>
      <c r="E7" s="103" t="s">
        <v>12</v>
      </c>
      <c r="F7" s="939" t="e">
        <f>IF('[8]CANOPY (15)'!G7="","",'[8]CANOPY (15)'!G7)</f>
        <v>#REF!</v>
      </c>
      <c r="G7" s="979"/>
      <c r="H7" s="245"/>
      <c r="J7" s="240" t="s">
        <v>14</v>
      </c>
      <c r="K7" s="787" t="e">
        <f>IF('[8]CANOPY (15)'!O7="","",'[8]CANOPY (15)'!O7)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2796" priority="27">
      <formula>B9="CURRENCY"</formula>
    </cfRule>
    <cfRule type="containsText" dxfId="2795" priority="26" operator="containsText" text="SELECT">
      <formula>NOT(ISERROR(SEARCH("SELECT",B9)))</formula>
    </cfRule>
  </conditionalFormatting>
  <conditionalFormatting sqref="B13:B24">
    <cfRule type="expression" dxfId="2794" priority="4">
      <formula>$C13&gt;0</formula>
    </cfRule>
  </conditionalFormatting>
  <conditionalFormatting sqref="B25:B39">
    <cfRule type="expression" dxfId="2793" priority="3">
      <formula>$C25&gt;0</formula>
    </cfRule>
  </conditionalFormatting>
  <conditionalFormatting sqref="B40:B54">
    <cfRule type="expression" dxfId="2792" priority="2">
      <formula>$C40&gt;0</formula>
    </cfRule>
  </conditionalFormatting>
  <conditionalFormatting sqref="B57:B66">
    <cfRule type="expression" dxfId="2791" priority="1">
      <formula>$C57&gt;0</formula>
    </cfRule>
  </conditionalFormatting>
  <conditionalFormatting sqref="C13:C54">
    <cfRule type="cellIs" dxfId="2790" priority="13" operator="lessThan">
      <formula>1</formula>
    </cfRule>
  </conditionalFormatting>
  <conditionalFormatting sqref="C57:C66">
    <cfRule type="cellIs" dxfId="2789" priority="29" operator="equal">
      <formula>0</formula>
    </cfRule>
  </conditionalFormatting>
  <conditionalFormatting sqref="C9:D9">
    <cfRule type="cellIs" dxfId="2788" priority="24" operator="greaterThan">
      <formula>0</formula>
    </cfRule>
    <cfRule type="cellIs" dxfId="2787" priority="23" operator="lessThan">
      <formula>0</formula>
    </cfRule>
  </conditionalFormatting>
  <conditionalFormatting sqref="F13:F54">
    <cfRule type="expression" dxfId="2786" priority="12">
      <formula>C13&gt;0</formula>
    </cfRule>
  </conditionalFormatting>
  <conditionalFormatting sqref="F57:F66">
    <cfRule type="expression" dxfId="2785" priority="22">
      <formula>C57&gt;0</formula>
    </cfRule>
  </conditionalFormatting>
  <conditionalFormatting sqref="F58:F66">
    <cfRule type="expression" dxfId="2784" priority="28">
      <formula>C58&lt;1</formula>
    </cfRule>
  </conditionalFormatting>
  <conditionalFormatting sqref="G13:G54">
    <cfRule type="cellIs" dxfId="2783" priority="11" operator="greaterThan">
      <formula>0</formula>
    </cfRule>
  </conditionalFormatting>
  <conditionalFormatting sqref="G57:G66">
    <cfRule type="cellIs" dxfId="2782" priority="21" operator="greaterThan">
      <formula>0</formula>
    </cfRule>
  </conditionalFormatting>
  <conditionalFormatting sqref="H13:H54">
    <cfRule type="expression" dxfId="2781" priority="18">
      <formula>$C$9&gt;0</formula>
    </cfRule>
    <cfRule type="expression" dxfId="2780" priority="19">
      <formula>$C$9&lt;0</formula>
    </cfRule>
  </conditionalFormatting>
  <conditionalFormatting sqref="H57:H66">
    <cfRule type="expression" dxfId="2779" priority="34">
      <formula>$C$9&gt;0</formula>
    </cfRule>
    <cfRule type="expression" dxfId="2778" priority="35">
      <formula>$C$9&lt;0</formula>
    </cfRule>
  </conditionalFormatting>
  <conditionalFormatting sqref="J2:J6 J75:J1048576">
    <cfRule type="expression" dxfId="2777" priority="30">
      <formula>$B$9="EURO"</formula>
    </cfRule>
  </conditionalFormatting>
  <conditionalFormatting sqref="J8:J67">
    <cfRule type="expression" dxfId="2776" priority="14">
      <formula>$B$9="EURO"</formula>
    </cfRule>
  </conditionalFormatting>
  <conditionalFormatting sqref="J9 J56:J66">
    <cfRule type="expression" dxfId="2775" priority="31">
      <formula>$B$9="USD"</formula>
    </cfRule>
    <cfRule type="expression" dxfId="2774" priority="32">
      <formula>$B$9="PLN"</formula>
    </cfRule>
    <cfRule type="expression" dxfId="2773" priority="33">
      <formula>$B$9="CZK"</formula>
    </cfRule>
  </conditionalFormatting>
  <conditionalFormatting sqref="J12:J54">
    <cfRule type="expression" dxfId="2772" priority="17">
      <formula>$B$9="CZK"</formula>
    </cfRule>
    <cfRule type="expression" dxfId="2771" priority="16">
      <formula>$B$9="PLN"</formula>
    </cfRule>
    <cfRule type="expression" dxfId="2770" priority="15">
      <formula>$B$9="USD"</formula>
    </cfRule>
  </conditionalFormatting>
  <conditionalFormatting sqref="J68:J74">
    <cfRule type="expression" dxfId="2769" priority="25">
      <formula>$F$10="EURO"</formula>
    </cfRule>
  </conditionalFormatting>
  <conditionalFormatting sqref="J13:K54">
    <cfRule type="cellIs" dxfId="2768" priority="10" operator="greaterThan">
      <formula>0</formula>
    </cfRule>
  </conditionalFormatting>
  <conditionalFormatting sqref="J57:K66">
    <cfRule type="cellIs" dxfId="2767" priority="20" operator="greaterThan">
      <formula>0</formula>
    </cfRule>
  </conditionalFormatting>
  <conditionalFormatting sqref="M12:P54">
    <cfRule type="expression" dxfId="2766" priority="9">
      <formula>$B$9="CZK"</formula>
    </cfRule>
    <cfRule type="expression" dxfId="2765" priority="8">
      <formula>$B$9="PLN"</formula>
    </cfRule>
    <cfRule type="expression" dxfId="2764" priority="7">
      <formula>$B$9="USD"</formula>
    </cfRule>
    <cfRule type="expression" dxfId="2763" priority="6">
      <formula>$B$9="EURO"</formula>
    </cfRule>
  </conditionalFormatting>
  <conditionalFormatting sqref="M13:P54">
    <cfRule type="cellIs" dxfId="2762" priority="5" operator="greaterThan">
      <formula>0</formula>
    </cfRule>
  </conditionalFormatting>
  <dataValidations count="3">
    <dataValidation type="list" allowBlank="1" showInputMessage="1" showErrorMessage="1" sqref="D13" xr:uid="{00000000-0002-0000-4500-000000000000}">
      <formula1>FanSize</formula1>
    </dataValidation>
    <dataValidation type="list" allowBlank="1" showInputMessage="1" showErrorMessage="1" sqref="D55" xr:uid="{00000000-0002-0000-4500-000001000000}">
      <formula1>$B$3:$B$15</formula1>
    </dataValidation>
    <dataValidation type="list" allowBlank="1" showInputMessage="1" showErrorMessage="1" sqref="D26" xr:uid="{00000000-0002-0000-45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IF('[8]CANOPY (15)'!C3="","",'[8]CANOPY (15)'!C3)</f>
        <v>#REF!</v>
      </c>
      <c r="D3" s="979"/>
      <c r="E3" s="122" t="s">
        <v>4</v>
      </c>
      <c r="F3" s="987" t="e">
        <f>IF('[8]CANOPY (15)'!G3="","",'[8]CANOPY (15)'!G3)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IF('[8]CANOPY (15)'!C5="","",'[8]CANOPY (15)'!C5)</f>
        <v>#REF!</v>
      </c>
      <c r="D5" s="979"/>
      <c r="E5" s="122" t="s">
        <v>8</v>
      </c>
      <c r="F5" s="987" t="e">
        <f>IF('[8]CANOPY (15)'!G5="","",'[8]CANOPY (15)'!G5)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IF('[8]CANOPY (15)'!C7="","",'[8]CANOPY (15)'!C7)</f>
        <v>#REF!</v>
      </c>
      <c r="D7" s="979"/>
      <c r="E7" s="122" t="s">
        <v>12</v>
      </c>
      <c r="F7" s="989" t="e">
        <f>IF('[8]CANOPY (15)'!G7="","",'[8]CANOPY (15)'!G7)</f>
        <v>#REF!</v>
      </c>
      <c r="G7" s="979"/>
      <c r="H7" s="979"/>
      <c r="J7" s="197" t="s">
        <v>14</v>
      </c>
      <c r="K7" s="484" t="e">
        <f>IF('[8]CANOPY (15)'!O7="","",'[8]CANOPY (15)'!O7)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761" priority="8" operator="containsText" text="SELECT">
      <formula>NOT(ISERROR(SEARCH("SELECT",B10)))</formula>
    </cfRule>
    <cfRule type="expression" dxfId="2760" priority="9">
      <formula>B10="CURRENCY"</formula>
    </cfRule>
  </conditionalFormatting>
  <conditionalFormatting sqref="B14:B41">
    <cfRule type="expression" dxfId="2759" priority="2">
      <formula>$C14&gt;0</formula>
    </cfRule>
  </conditionalFormatting>
  <conditionalFormatting sqref="B44:B55">
    <cfRule type="expression" dxfId="2758" priority="1">
      <formula>$C44&gt;0</formula>
    </cfRule>
  </conditionalFormatting>
  <conditionalFormatting sqref="C14:C41 C44:C55">
    <cfRule type="cellIs" dxfId="2757" priority="12" operator="equal">
      <formula>0</formula>
    </cfRule>
  </conditionalFormatting>
  <conditionalFormatting sqref="C10:D10">
    <cfRule type="cellIs" dxfId="2756" priority="6" operator="lessThan">
      <formula>0</formula>
    </cfRule>
    <cfRule type="cellIs" dxfId="2755" priority="7" operator="greaterThan">
      <formula>0</formula>
    </cfRule>
  </conditionalFormatting>
  <conditionalFormatting sqref="E12:E13">
    <cfRule type="cellIs" dxfId="2754" priority="10" operator="greaterThan">
      <formula>0</formula>
    </cfRule>
    <cfRule type="cellIs" dxfId="2753" priority="11" operator="lessThan">
      <formula>0</formula>
    </cfRule>
  </conditionalFormatting>
  <conditionalFormatting sqref="F14:F41 F44:F55">
    <cfRule type="expression" dxfId="2752" priority="5">
      <formula>C14&gt;0</formula>
    </cfRule>
  </conditionalFormatting>
  <conditionalFormatting sqref="G14:G41 G44:G55">
    <cfRule type="cellIs" dxfId="2751" priority="4" operator="greaterThan">
      <formula>0</formula>
    </cfRule>
  </conditionalFormatting>
  <conditionalFormatting sqref="H14:H41 H44:H55">
    <cfRule type="expression" dxfId="2750" priority="17">
      <formula>$C$10&lt;0</formula>
    </cfRule>
    <cfRule type="expression" dxfId="2749" priority="18">
      <formula>$C$10&gt;0</formula>
    </cfRule>
  </conditionalFormatting>
  <conditionalFormatting sqref="J1:J6 J8:J11 J13:J1048576">
    <cfRule type="expression" dxfId="2748" priority="13">
      <formula>$B$10="EURO"</formula>
    </cfRule>
  </conditionalFormatting>
  <conditionalFormatting sqref="J10 J13:J41 J43:J55">
    <cfRule type="expression" dxfId="2747" priority="14">
      <formula>$B$10="PLN"</formula>
    </cfRule>
    <cfRule type="expression" dxfId="2746" priority="15">
      <formula>$B$10="CZK"</formula>
    </cfRule>
    <cfRule type="expression" dxfId="2745" priority="16">
      <formula>$B$10="USD"</formula>
    </cfRule>
  </conditionalFormatting>
  <conditionalFormatting sqref="J14:K41 J44:K56">
    <cfRule type="cellIs" dxfId="2744" priority="3" operator="greaterThan">
      <formula>0</formula>
    </cfRule>
  </conditionalFormatting>
  <dataValidations count="1">
    <dataValidation type="list" allowBlank="1" showInputMessage="1" showErrorMessage="1" sqref="F12:F13" xr:uid="{00000000-0002-0000-46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IF('[8]CANOPY (15)'!C3="","",'[8]CANOPY (15)'!C3)</f>
        <v>#REF!</v>
      </c>
      <c r="D3" s="990"/>
      <c r="E3" s="129"/>
      <c r="F3" s="132" t="s">
        <v>4</v>
      </c>
      <c r="G3" s="938" t="e">
        <f>IF('[8]CANOPY (15)'!G3="","",'[8]CANOPY (15)'!G3)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IF('[8]CANOPY (15)'!C5="","",'[8]CANOPY (15)'!C5)</f>
        <v>#REF!</v>
      </c>
      <c r="D5" s="990"/>
      <c r="E5" s="131"/>
      <c r="F5" s="132" t="s">
        <v>8</v>
      </c>
      <c r="G5" s="938" t="e">
        <f>IF('[8]CANOPY (15)'!G5="","",'[8]CANOPY (15)'!G5)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IF('[8]CANOPY (15)'!C7="","",'[8]CANOPY (15)'!C7)</f>
        <v>#REF!</v>
      </c>
      <c r="D7" s="990"/>
      <c r="E7" s="135"/>
      <c r="F7" s="136" t="s">
        <v>12</v>
      </c>
      <c r="G7" s="939" t="e">
        <f>IF('[8]CANOPY (15)'!G7="","",'[8]CANOPY (15)'!G7)</f>
        <v>#REF!</v>
      </c>
      <c r="H7" s="990"/>
      <c r="I7" s="51"/>
      <c r="J7" s="280"/>
      <c r="K7" s="280" t="s">
        <v>14</v>
      </c>
      <c r="L7" s="484" t="e">
        <f>IF('[8]CANOPY (15)'!O7="","",'[8]CANOPY (15)'!O7)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2743" priority="26">
      <formula>B9="CURRENCY"</formula>
    </cfRule>
    <cfRule type="containsText" dxfId="2742" priority="25" operator="containsText" text="SELECT">
      <formula>NOT(ISERROR(SEARCH("SELECT",B9)))</formula>
    </cfRule>
  </conditionalFormatting>
  <conditionalFormatting sqref="B15:B29">
    <cfRule type="expression" dxfId="2741" priority="9">
      <formula>$D15&gt;0</formula>
    </cfRule>
  </conditionalFormatting>
  <conditionalFormatting sqref="B49 E49:F49">
    <cfRule type="expression" dxfId="2740" priority="49">
      <formula>C40="select controls"</formula>
    </cfRule>
  </conditionalFormatting>
  <conditionalFormatting sqref="C13">
    <cfRule type="containsText" dxfId="2739" priority="29" operator="containsText" text="SELECT">
      <formula>NOT(ISERROR(SEARCH("SELECT",C13)))</formula>
    </cfRule>
  </conditionalFormatting>
  <conditionalFormatting sqref="C15:C22">
    <cfRule type="containsText" dxfId="2738" priority="15" operator="containsText" text="SIZE">
      <formula>NOT(ISERROR(SEARCH("SIZE",C15)))</formula>
    </cfRule>
  </conditionalFormatting>
  <conditionalFormatting sqref="C25">
    <cfRule type="containsText" dxfId="2737" priority="37" operator="containsText" text="SELECT CONTROLS">
      <formula>NOT(ISERROR(SEARCH("SELECT CONTROLS",C25)))</formula>
    </cfRule>
  </conditionalFormatting>
  <conditionalFormatting sqref="C26">
    <cfRule type="expression" dxfId="2736" priority="32">
      <formula>$C$25="SMARTEC"</formula>
    </cfRule>
    <cfRule type="containsText" dxfId="2735" priority="31" operator="containsText" text="st/st">
      <formula>NOT(ISERROR(SEARCH("st/st",C26)))</formula>
    </cfRule>
  </conditionalFormatting>
  <conditionalFormatting sqref="C31:C32">
    <cfRule type="cellIs" dxfId="2734" priority="20" operator="greaterThan">
      <formula>0</formula>
    </cfRule>
  </conditionalFormatting>
  <conditionalFormatting sqref="C52:C61">
    <cfRule type="cellIs" dxfId="2733" priority="28" operator="lessThan">
      <formula>1</formula>
    </cfRule>
  </conditionalFormatting>
  <conditionalFormatting sqref="C9:D9">
    <cfRule type="cellIs" dxfId="2732" priority="23" operator="lessThan">
      <formula>0</formula>
    </cfRule>
    <cfRule type="cellIs" dxfId="2731" priority="24" operator="greaterThan">
      <formula>0</formula>
    </cfRule>
  </conditionalFormatting>
  <conditionalFormatting sqref="C29:D29">
    <cfRule type="expression" dxfId="2730" priority="36">
      <formula>$C$25="REMOTE TOUCH SCREEN"</formula>
    </cfRule>
    <cfRule type="expression" dxfId="2729" priority="35">
      <formula>$C$25="SMARTEC"</formula>
    </cfRule>
  </conditionalFormatting>
  <conditionalFormatting sqref="D26">
    <cfRule type="expression" dxfId="2728" priority="33">
      <formula>C25="SMARTEC"</formula>
    </cfRule>
    <cfRule type="expression" dxfId="2727" priority="30">
      <formula>C26="st/st enclosure"</formula>
    </cfRule>
  </conditionalFormatting>
  <conditionalFormatting sqref="D29">
    <cfRule type="expression" dxfId="2726" priority="34">
      <formula>$C$25="SMARTEC"</formula>
    </cfRule>
  </conditionalFormatting>
  <conditionalFormatting sqref="D38">
    <cfRule type="expression" dxfId="2725" priority="48">
      <formula>#REF!="SMARTEC"</formula>
    </cfRule>
    <cfRule type="expression" dxfId="2724" priority="47">
      <formula>C38="st/st enclosure"</formula>
    </cfRule>
  </conditionalFormatting>
  <conditionalFormatting sqref="E39:E43">
    <cfRule type="expression" dxfId="2723" priority="46">
      <formula>#REF!="select controls"</formula>
    </cfRule>
  </conditionalFormatting>
  <conditionalFormatting sqref="E44:F45 B45:B48 E46:E47 E48:F48">
    <cfRule type="expression" dxfId="2722" priority="27">
      <formula>C38="select controls"</formula>
    </cfRule>
  </conditionalFormatting>
  <conditionalFormatting sqref="F40">
    <cfRule type="expression" dxfId="2721" priority="1">
      <formula>G34="select controls"</formula>
    </cfRule>
  </conditionalFormatting>
  <conditionalFormatting sqref="G15:G36">
    <cfRule type="cellIs" dxfId="2720" priority="2" operator="greaterThan">
      <formula>0</formula>
    </cfRule>
  </conditionalFormatting>
  <conditionalFormatting sqref="G38:G49">
    <cfRule type="cellIs" dxfId="2719" priority="18" operator="greaterThan">
      <formula>0</formula>
    </cfRule>
  </conditionalFormatting>
  <conditionalFormatting sqref="G52:G61">
    <cfRule type="expression" dxfId="2718" priority="8">
      <formula>C52&gt;0</formula>
    </cfRule>
  </conditionalFormatting>
  <conditionalFormatting sqref="H13 J13 L13">
    <cfRule type="expression" dxfId="2717" priority="38">
      <formula>$B$9="EURO"</formula>
    </cfRule>
  </conditionalFormatting>
  <conditionalFormatting sqref="H15:H61">
    <cfRule type="cellIs" dxfId="2716" priority="19" operator="greaterThan">
      <formula>0</formula>
    </cfRule>
  </conditionalFormatting>
  <conditionalFormatting sqref="I15:I36 I38:I49 I52:I61">
    <cfRule type="expression" dxfId="2715" priority="44">
      <formula>$C$9&lt;0</formula>
    </cfRule>
    <cfRule type="expression" dxfId="2714" priority="43">
      <formula>$C$9&gt;0</formula>
    </cfRule>
  </conditionalFormatting>
  <conditionalFormatting sqref="J37">
    <cfRule type="expression" dxfId="2713" priority="42">
      <formula>$B$9="EURO"</formula>
    </cfRule>
    <cfRule type="expression" dxfId="2712" priority="41">
      <formula>$B$9="USD"</formula>
    </cfRule>
    <cfRule type="expression" dxfId="2711" priority="40">
      <formula>$B$9="CZK"</formula>
    </cfRule>
    <cfRule type="expression" dxfId="2710" priority="39">
      <formula>$B$9="PLN"</formula>
    </cfRule>
  </conditionalFormatting>
  <conditionalFormatting sqref="J63:J69">
    <cfRule type="expression" dxfId="2709" priority="45">
      <formula>#REF!="EURO"</formula>
    </cfRule>
  </conditionalFormatting>
  <conditionalFormatting sqref="K1:K36">
    <cfRule type="expression" dxfId="2708" priority="5">
      <formula>$B$9="USD"</formula>
    </cfRule>
    <cfRule type="expression" dxfId="2707" priority="4">
      <formula>$B$9="EURO"</formula>
    </cfRule>
    <cfRule type="expression" dxfId="2706" priority="6">
      <formula>$B$9="PLN"</formula>
    </cfRule>
  </conditionalFormatting>
  <conditionalFormatting sqref="K1:K1048576">
    <cfRule type="expression" dxfId="2705" priority="7">
      <formula>$B$9="CZK"</formula>
    </cfRule>
  </conditionalFormatting>
  <conditionalFormatting sqref="K15:K36">
    <cfRule type="cellIs" dxfId="2704" priority="3" operator="greaterThan">
      <formula>0</formula>
    </cfRule>
  </conditionalFormatting>
  <conditionalFormatting sqref="K38:K49">
    <cfRule type="cellIs" dxfId="2703" priority="14" operator="greaterThan">
      <formula>0</formula>
    </cfRule>
  </conditionalFormatting>
  <conditionalFormatting sqref="K38:K1048576">
    <cfRule type="expression" dxfId="2702" priority="11">
      <formula>$B$9="EURO"</formula>
    </cfRule>
    <cfRule type="expression" dxfId="2701" priority="12">
      <formula>$B$9="USD"</formula>
    </cfRule>
    <cfRule type="expression" dxfId="2700" priority="13">
      <formula>$B$9="PLN"</formula>
    </cfRule>
  </conditionalFormatting>
  <conditionalFormatting sqref="K50">
    <cfRule type="cellIs" dxfId="2699" priority="22" operator="greaterThan">
      <formula>0</formula>
    </cfRule>
  </conditionalFormatting>
  <conditionalFormatting sqref="K52:K61">
    <cfRule type="cellIs" dxfId="2698" priority="10" operator="greaterThan">
      <formula>0</formula>
    </cfRule>
  </conditionalFormatting>
  <conditionalFormatting sqref="L15:L36 L52:L61">
    <cfRule type="cellIs" dxfId="2697" priority="21" operator="greaterThan">
      <formula>0</formula>
    </cfRule>
  </conditionalFormatting>
  <conditionalFormatting sqref="L38:L49">
    <cfRule type="cellIs" dxfId="2696" priority="17" operator="greaterThan">
      <formula>0</formula>
    </cfRule>
  </conditionalFormatting>
  <conditionalFormatting sqref="U40">
    <cfRule type="cellIs" dxfId="2695"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4700-000000000000}">
      <formula1>#REF!</formula1>
    </dataValidation>
    <dataValidation type="list" allowBlank="1" showInputMessage="1" showErrorMessage="1" sqref="C13" xr:uid="{00000000-0002-0000-4700-000001000000}">
      <formula1>"SELECT MODEL,INTERNAL,EXTERNAL"</formula1>
    </dataValidation>
    <dataValidation type="list" allowBlank="1" showInputMessage="1" showErrorMessage="1" sqref="C25" xr:uid="{00000000-0002-0000-47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IF('[8]CANOPY (15)'!C3="","",'[8]CANOPY (15)'!C3)</f>
        <v>#REF!</v>
      </c>
      <c r="D3" s="990"/>
      <c r="E3" s="129"/>
      <c r="F3" s="132" t="s">
        <v>4</v>
      </c>
      <c r="G3" s="938" t="e">
        <f>IF('[8]CANOPY (15)'!G3="","",'[8]CANOPY (15)'!G3)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IF('[8]CANOPY (15)'!C5="","",'[8]CANOPY (15)'!C5)</f>
        <v>#REF!</v>
      </c>
      <c r="D5" s="990"/>
      <c r="E5" s="131"/>
      <c r="F5" s="132" t="s">
        <v>8</v>
      </c>
      <c r="G5" s="938" t="e">
        <f>IF('[8]CANOPY (15)'!G5="","",'[8]CANOPY (15)'!G5)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IF('[8]CANOPY (15)'!C7="","",'[8]CANOPY (15)'!C7)</f>
        <v>#REF!</v>
      </c>
      <c r="D7" s="990"/>
      <c r="E7" s="135"/>
      <c r="F7" s="136" t="s">
        <v>12</v>
      </c>
      <c r="G7" s="939" t="e">
        <f>IF('[8]CANOPY (15)'!G7="","",'[8]CANOPY (15)'!G7)</f>
        <v>#REF!</v>
      </c>
      <c r="H7" s="990"/>
      <c r="I7" s="51"/>
      <c r="J7" s="280"/>
      <c r="K7" s="280" t="s">
        <v>14</v>
      </c>
      <c r="L7" s="484" t="e">
        <f>IF('[8]CANOPY (15)'!O7="","",'[8]CANOPY (15)'!O7)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2694" priority="30">
      <formula>B9="CURRENCY"</formula>
    </cfRule>
    <cfRule type="containsText" dxfId="2693" priority="29" operator="containsText" text="SELECT">
      <formula>NOT(ISERROR(SEARCH("SELECT",B9)))</formula>
    </cfRule>
  </conditionalFormatting>
  <conditionalFormatting sqref="B15:B30">
    <cfRule type="expression" dxfId="2692" priority="2">
      <formula>$D15&gt;0</formula>
    </cfRule>
  </conditionalFormatting>
  <conditionalFormatting sqref="B50 E50:F50">
    <cfRule type="expression" dxfId="2691" priority="53">
      <formula>C41="select controls"</formula>
    </cfRule>
  </conditionalFormatting>
  <conditionalFormatting sqref="C13">
    <cfRule type="containsText" dxfId="2690" priority="33" operator="containsText" text="SELECT">
      <formula>NOT(ISERROR(SEARCH("SELECT",C13)))</formula>
    </cfRule>
  </conditionalFormatting>
  <conditionalFormatting sqref="C15:C23">
    <cfRule type="containsText" dxfId="2689" priority="8" operator="containsText" text="SIZE">
      <formula>NOT(ISERROR(SEARCH("SIZE",C15)))</formula>
    </cfRule>
  </conditionalFormatting>
  <conditionalFormatting sqref="C26">
    <cfRule type="containsText" dxfId="2688" priority="41" operator="containsText" text="SELECT CONTROLS">
      <formula>NOT(ISERROR(SEARCH("SELECT CONTROLS",C26)))</formula>
    </cfRule>
  </conditionalFormatting>
  <conditionalFormatting sqref="C27">
    <cfRule type="expression" dxfId="2687" priority="36">
      <formula>$C$26="SMARTEC"</formula>
    </cfRule>
    <cfRule type="containsText" dxfId="2686" priority="35" operator="containsText" text="st/st">
      <formula>NOT(ISERROR(SEARCH("st/st",C27)))</formula>
    </cfRule>
  </conditionalFormatting>
  <conditionalFormatting sqref="C32:C33">
    <cfRule type="cellIs" dxfId="2685" priority="24" operator="greaterThan">
      <formula>0</formula>
    </cfRule>
  </conditionalFormatting>
  <conditionalFormatting sqref="C53:C62">
    <cfRule type="cellIs" dxfId="2684" priority="32" operator="lessThan">
      <formula>1</formula>
    </cfRule>
  </conditionalFormatting>
  <conditionalFormatting sqref="C9:D9">
    <cfRule type="cellIs" dxfId="2683" priority="27" operator="lessThan">
      <formula>0</formula>
    </cfRule>
    <cfRule type="cellIs" dxfId="2682" priority="28" operator="greaterThan">
      <formula>0</formula>
    </cfRule>
  </conditionalFormatting>
  <conditionalFormatting sqref="C30:D30">
    <cfRule type="expression" dxfId="2681" priority="40">
      <formula>$C$26="REMOTE TOUCH SCREEN"</formula>
    </cfRule>
    <cfRule type="expression" dxfId="2680" priority="39">
      <formula>$C$26="SMARTEC"</formula>
    </cfRule>
  </conditionalFormatting>
  <conditionalFormatting sqref="D27">
    <cfRule type="expression" dxfId="2679" priority="37">
      <formula>C26="SMARTEC"</formula>
    </cfRule>
    <cfRule type="expression" dxfId="2678" priority="34">
      <formula>C27="st/st enclosure"</formula>
    </cfRule>
  </conditionalFormatting>
  <conditionalFormatting sqref="D30">
    <cfRule type="expression" dxfId="2677" priority="38">
      <formula>$C$26="SMARTEC"</formula>
    </cfRule>
  </conditionalFormatting>
  <conditionalFormatting sqref="D39">
    <cfRule type="expression" dxfId="2676" priority="52">
      <formula>#REF!="SMARTEC"</formula>
    </cfRule>
    <cfRule type="expression" dxfId="2675" priority="51">
      <formula>C39="st/st enclosure"</formula>
    </cfRule>
  </conditionalFormatting>
  <conditionalFormatting sqref="E40:E44">
    <cfRule type="expression" dxfId="2674" priority="50">
      <formula>#REF!="select controls"</formula>
    </cfRule>
  </conditionalFormatting>
  <conditionalFormatting sqref="E45 E46:F46 B46:B47 E47:E48 B49 E49:F49">
    <cfRule type="expression" dxfId="2673" priority="31">
      <formula>C39="select controls"</formula>
    </cfRule>
  </conditionalFormatting>
  <conditionalFormatting sqref="F41:F45">
    <cfRule type="expression" dxfId="2672" priority="1">
      <formula>G35="select controls"</formula>
    </cfRule>
  </conditionalFormatting>
  <conditionalFormatting sqref="G15:G37">
    <cfRule type="cellIs" dxfId="2671" priority="9" operator="greaterThan">
      <formula>0</formula>
    </cfRule>
  </conditionalFormatting>
  <conditionalFormatting sqref="G39:G50">
    <cfRule type="cellIs" dxfId="2670" priority="14" operator="greaterThan">
      <formula>0</formula>
    </cfRule>
  </conditionalFormatting>
  <conditionalFormatting sqref="G53:G62">
    <cfRule type="expression" dxfId="2669" priority="15">
      <formula>C53&gt;0</formula>
    </cfRule>
  </conditionalFormatting>
  <conditionalFormatting sqref="H13 J13 L13">
    <cfRule type="expression" dxfId="2668" priority="42">
      <formula>$B$9="EURO"</formula>
    </cfRule>
  </conditionalFormatting>
  <conditionalFormatting sqref="H23">
    <cfRule type="cellIs" dxfId="2667" priority="11" operator="greaterThan">
      <formula>0</formula>
    </cfRule>
  </conditionalFormatting>
  <conditionalFormatting sqref="H25:H62">
    <cfRule type="cellIs" dxfId="2666" priority="23" operator="greaterThan">
      <formula>0</formula>
    </cfRule>
  </conditionalFormatting>
  <conditionalFormatting sqref="H15:L22 L53:L62">
    <cfRule type="cellIs" dxfId="2665" priority="25" operator="greaterThan">
      <formula>0</formula>
    </cfRule>
  </conditionalFormatting>
  <conditionalFormatting sqref="I15:I37">
    <cfRule type="expression" dxfId="2664" priority="12">
      <formula>$C$9&gt;0</formula>
    </cfRule>
  </conditionalFormatting>
  <conditionalFormatting sqref="I23:I37">
    <cfRule type="expression" dxfId="2663" priority="13">
      <formula>$C$9&lt;0</formula>
    </cfRule>
  </conditionalFormatting>
  <conditionalFormatting sqref="I39:I50 I53:I62 I15:I22">
    <cfRule type="expression" dxfId="2662" priority="48">
      <formula>$C$9&lt;0</formula>
    </cfRule>
  </conditionalFormatting>
  <conditionalFormatting sqref="I39:I50 I53:I62">
    <cfRule type="expression" dxfId="2661" priority="47">
      <formula>$C$9&gt;0</formula>
    </cfRule>
  </conditionalFormatting>
  <conditionalFormatting sqref="J38">
    <cfRule type="expression" dxfId="2660" priority="43">
      <formula>$B$9="PLN"</formula>
    </cfRule>
    <cfRule type="expression" dxfId="2659" priority="44">
      <formula>$B$9="CZK"</formula>
    </cfRule>
    <cfRule type="expression" dxfId="2658" priority="45">
      <formula>$B$9="USD"</formula>
    </cfRule>
    <cfRule type="expression" dxfId="2657" priority="46">
      <formula>$B$9="EURO"</formula>
    </cfRule>
  </conditionalFormatting>
  <conditionalFormatting sqref="J64:J70">
    <cfRule type="expression" dxfId="2656" priority="49">
      <formula>#REF!="EURO"</formula>
    </cfRule>
  </conditionalFormatting>
  <conditionalFormatting sqref="K1:K37">
    <cfRule type="expression" dxfId="2655" priority="5">
      <formula>$B$9="USD"</formula>
    </cfRule>
    <cfRule type="expression" dxfId="2654" priority="4">
      <formula>$B$9="EURO"</formula>
    </cfRule>
    <cfRule type="expression" dxfId="2653" priority="6">
      <formula>$B$9="PLN"</formula>
    </cfRule>
  </conditionalFormatting>
  <conditionalFormatting sqref="K1:K1048576">
    <cfRule type="expression" dxfId="2652" priority="7">
      <formula>$B$9="CZK"</formula>
    </cfRule>
  </conditionalFormatting>
  <conditionalFormatting sqref="K15:K37">
    <cfRule type="cellIs" dxfId="2651" priority="3" operator="greaterThan">
      <formula>0</formula>
    </cfRule>
  </conditionalFormatting>
  <conditionalFormatting sqref="K39:K50">
    <cfRule type="cellIs" dxfId="2650" priority="20" operator="greaterThan">
      <formula>0</formula>
    </cfRule>
  </conditionalFormatting>
  <conditionalFormatting sqref="K39:K1048576">
    <cfRule type="expression" dxfId="2649" priority="19">
      <formula>$B$9="PLN"</formula>
    </cfRule>
    <cfRule type="expression" dxfId="2648" priority="18">
      <formula>$B$9="USD"</formula>
    </cfRule>
    <cfRule type="expression" dxfId="2647" priority="17">
      <formula>$B$9="EURO"</formula>
    </cfRule>
  </conditionalFormatting>
  <conditionalFormatting sqref="K51">
    <cfRule type="cellIs" dxfId="2646" priority="26" operator="greaterThan">
      <formula>0</formula>
    </cfRule>
  </conditionalFormatting>
  <conditionalFormatting sqref="K53:K62">
    <cfRule type="cellIs" dxfId="2645" priority="16" operator="greaterThan">
      <formula>0</formula>
    </cfRule>
  </conditionalFormatting>
  <conditionalFormatting sqref="L23:L37">
    <cfRule type="cellIs" dxfId="2644" priority="10" operator="greaterThan">
      <formula>0</formula>
    </cfRule>
  </conditionalFormatting>
  <conditionalFormatting sqref="L39:L50">
    <cfRule type="cellIs" dxfId="2643" priority="22" operator="greaterThan">
      <formula>0</formula>
    </cfRule>
  </conditionalFormatting>
  <conditionalFormatting sqref="T41">
    <cfRule type="cellIs" dxfId="2642" priority="21" operator="greaterThan">
      <formula>0</formula>
    </cfRule>
  </conditionalFormatting>
  <dataValidations count="3">
    <dataValidation type="list" allowBlank="1" showInputMessage="1" showErrorMessage="1" sqref="C26" xr:uid="{00000000-0002-0000-4800-000000000000}">
      <formula1>"SELECT CONTROLS,SMARTEC, REMOTE TOUCH SCREEN"</formula1>
    </dataValidation>
    <dataValidation type="list" allowBlank="1" showInputMessage="1" showErrorMessage="1" sqref="C13" xr:uid="{00000000-0002-0000-48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48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IF('[8]CANOPY (15)'!C3="","",'[8]CANOPY (15)'!C3)</f>
        <v>#REF!</v>
      </c>
      <c r="E3" s="934"/>
      <c r="G3" s="71" t="s">
        <v>4</v>
      </c>
      <c r="H3" s="935" t="e">
        <f>IF('[8]CANOPY (15)'!G3="","",'[8]CANOPY (15)'!G3)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IF('[8]CANOPY (15)'!C5="","",'[8]CANOPY (15)'!C5)</f>
        <v>#REF!</v>
      </c>
      <c r="E5" s="934"/>
      <c r="G5" s="71" t="s">
        <v>8</v>
      </c>
      <c r="H5" s="935" t="e">
        <f>IF('[8]CANOPY (15)'!G5="","",'[8]CANOPY (15)'!G5)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IF('[8]CANOPY (15)'!C7="","",'[8]CANOPY (15)'!C7)</f>
        <v>#REF!</v>
      </c>
      <c r="E7" s="934"/>
      <c r="G7" s="71" t="s">
        <v>12</v>
      </c>
      <c r="H7" s="939" t="e">
        <f>IF('[8]CANOPY (15)'!G7="","",'[8]CANOPY (15)'!G7)</f>
        <v>#REF!</v>
      </c>
      <c r="I7" s="936"/>
      <c r="J7" s="937"/>
      <c r="N7" s="266" t="s">
        <v>14</v>
      </c>
      <c r="O7" s="787" t="e">
        <f>IF('[8]CANOPY (15)'!O7="","",'[8]CANOPY (15)'!O7)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2641" priority="26">
      <formula>C9="CURRENCY"</formula>
    </cfRule>
    <cfRule type="containsText" dxfId="2640" priority="25" operator="containsText" text="SELECT">
      <formula>NOT(ISERROR(SEARCH("SELECT",C9)))</formula>
    </cfRule>
  </conditionalFormatting>
  <conditionalFormatting sqref="C14:C23">
    <cfRule type="expression" dxfId="2639" priority="1">
      <formula>$J14&gt;0</formula>
    </cfRule>
  </conditionalFormatting>
  <conditionalFormatting sqref="C27:C37">
    <cfRule type="expression" dxfId="2638" priority="10">
      <formula>$D27&gt;0</formula>
    </cfRule>
  </conditionalFormatting>
  <conditionalFormatting sqref="D27:D28 D30:D37">
    <cfRule type="cellIs" dxfId="2637" priority="27" operator="lessThan">
      <formula>1</formula>
    </cfRule>
  </conditionalFormatting>
  <conditionalFormatting sqref="D29">
    <cfRule type="cellIs" dxfId="2636" priority="22" operator="lessThan">
      <formula>1</formula>
    </cfRule>
  </conditionalFormatting>
  <conditionalFormatting sqref="D9:E9">
    <cfRule type="cellIs" dxfId="2635" priority="23" operator="lessThan">
      <formula>0</formula>
    </cfRule>
    <cfRule type="cellIs" dxfId="2634" priority="24" operator="greaterThan">
      <formula>0</formula>
    </cfRule>
  </conditionalFormatting>
  <conditionalFormatting sqref="F12">
    <cfRule type="cellIs" dxfId="2633" priority="37" operator="greaterThan">
      <formula>2000</formula>
    </cfRule>
    <cfRule type="expression" dxfId="2632" priority="36">
      <formula>ISNUMBER(SEARCH("I-MUAP",#REF!))</formula>
    </cfRule>
    <cfRule type="expression" dxfId="2631" priority="35">
      <formula>AND((ISNUMBER(SEARCH("I-MUAP",#REF!))),F12&lt;2500)</formula>
    </cfRule>
  </conditionalFormatting>
  <conditionalFormatting sqref="F12:G12">
    <cfRule type="cellIs" dxfId="2630" priority="28" operator="lessThan">
      <formula>1000</formula>
    </cfRule>
  </conditionalFormatting>
  <conditionalFormatting sqref="F14:G19">
    <cfRule type="cellIs" dxfId="2629" priority="3" operator="lessThan">
      <formula>1000</formula>
    </cfRule>
  </conditionalFormatting>
  <conditionalFormatting sqref="G12">
    <cfRule type="cellIs" dxfId="2628" priority="29" operator="greaterThan">
      <formula>3001</formula>
    </cfRule>
  </conditionalFormatting>
  <conditionalFormatting sqref="H11">
    <cfRule type="expression" dxfId="2627" priority="38">
      <formula>((#REF!-50)/#REF!)&lt;950</formula>
    </cfRule>
  </conditionalFormatting>
  <conditionalFormatting sqref="H12">
    <cfRule type="expression" dxfId="2626" priority="39">
      <formula>((#REF!-50)/#REF!)&lt;950</formula>
    </cfRule>
  </conditionalFormatting>
  <conditionalFormatting sqref="H14:H19">
    <cfRule type="cellIs" dxfId="2625" priority="4" operator="lessThan">
      <formula>400</formula>
    </cfRule>
  </conditionalFormatting>
  <conditionalFormatting sqref="H24">
    <cfRule type="expression" dxfId="2624" priority="34">
      <formula>((#REF!-50)/#REF!)&lt;950</formula>
    </cfRule>
  </conditionalFormatting>
  <conditionalFormatting sqref="J14:J21">
    <cfRule type="cellIs" dxfId="2623" priority="15" operator="greaterThan">
      <formula>0</formula>
    </cfRule>
  </conditionalFormatting>
  <conditionalFormatting sqref="J27:J37">
    <cfRule type="expression" dxfId="2622" priority="16">
      <formula>D27&gt;0</formula>
    </cfRule>
  </conditionalFormatting>
  <conditionalFormatting sqref="J39:J45">
    <cfRule type="expression" dxfId="2621" priority="44">
      <formula>#REF!="EURO"</formula>
    </cfRule>
  </conditionalFormatting>
  <conditionalFormatting sqref="K14:K23 N14:O23">
    <cfRule type="cellIs" dxfId="2620" priority="2" operator="greaterThan">
      <formula>0</formula>
    </cfRule>
  </conditionalFormatting>
  <conditionalFormatting sqref="K27:K37">
    <cfRule type="cellIs" dxfId="2619" priority="21" operator="greaterThan">
      <formula>0</formula>
    </cfRule>
  </conditionalFormatting>
  <conditionalFormatting sqref="K39:K45">
    <cfRule type="expression" dxfId="2618" priority="40">
      <formula>$C$9="PLN"</formula>
    </cfRule>
    <cfRule type="expression" dxfId="2617" priority="41">
      <formula>$C$9="CZK"</formula>
    </cfRule>
    <cfRule type="expression" dxfId="2616" priority="42">
      <formula>$C$9="USD"</formula>
    </cfRule>
    <cfRule type="expression" dxfId="2615" priority="43">
      <formula>$C$9="EURO"</formula>
    </cfRule>
  </conditionalFormatting>
  <conditionalFormatting sqref="L14:L23">
    <cfRule type="expression" dxfId="2614" priority="14">
      <formula>$D$9&gt;0</formula>
    </cfRule>
    <cfRule type="expression" dxfId="2613" priority="13">
      <formula>$D$9&lt;0</formula>
    </cfRule>
  </conditionalFormatting>
  <conditionalFormatting sqref="L27:L37">
    <cfRule type="expression" dxfId="2612" priority="12">
      <formula>$D$9&gt;0</formula>
    </cfRule>
    <cfRule type="expression" dxfId="2611" priority="11">
      <formula>$D$9&lt;0</formula>
    </cfRule>
  </conditionalFormatting>
  <conditionalFormatting sqref="N9 N12">
    <cfRule type="expression" dxfId="2610" priority="30">
      <formula>$C$9="PLN"</formula>
    </cfRule>
    <cfRule type="expression" dxfId="2609" priority="31">
      <formula>$C$9="CZK"</formula>
    </cfRule>
    <cfRule type="expression" dxfId="2608" priority="32">
      <formula>$C$9="USD"</formula>
    </cfRule>
    <cfRule type="expression" dxfId="2607" priority="33">
      <formula>$C$9="EURO"</formula>
    </cfRule>
  </conditionalFormatting>
  <conditionalFormatting sqref="N14:N23">
    <cfRule type="expression" dxfId="2606" priority="20">
      <formula>$C$9="EURO"</formula>
    </cfRule>
    <cfRule type="expression" dxfId="2605" priority="19">
      <formula>$C$9="USD"</formula>
    </cfRule>
    <cfRule type="expression" dxfId="2604" priority="18">
      <formula>$C$9="CZK"</formula>
    </cfRule>
    <cfRule type="expression" dxfId="2603" priority="17">
      <formula>$C$9="PLN"</formula>
    </cfRule>
  </conditionalFormatting>
  <conditionalFormatting sqref="N26:N37">
    <cfRule type="expression" dxfId="2602" priority="6">
      <formula>$C$9="PLN"</formula>
    </cfRule>
    <cfRule type="expression" dxfId="2601" priority="7">
      <formula>$C$9="CZK"</formula>
    </cfRule>
    <cfRule type="expression" dxfId="2600" priority="9">
      <formula>$C$9="EURO"</formula>
    </cfRule>
    <cfRule type="expression" dxfId="2599" priority="8">
      <formula>$C$9="USD"</formula>
    </cfRule>
  </conditionalFormatting>
  <conditionalFormatting sqref="N27:O37">
    <cfRule type="cellIs" dxfId="2598" priority="5" operator="greaterThan">
      <formula>0</formula>
    </cfRule>
  </conditionalFormatting>
  <dataValidations count="3">
    <dataValidation operator="greaterThan" allowBlank="1" showInputMessage="1" showErrorMessage="1" sqref="F14:F19" xr:uid="{00000000-0002-0000-4900-000000000000}"/>
    <dataValidation type="list" allowBlank="1" showInputMessage="1" showErrorMessage="1" sqref="E14:E23" xr:uid="{00000000-0002-0000-4900-000001000000}">
      <formula1>"0,1,2,3,4,5,6,7,8,9,10,11,12,13,14,15,16,17,18,19,20"</formula1>
    </dataValidation>
    <dataValidation type="list" allowBlank="1" showInputMessage="1" showErrorMessage="1" sqref="H25" xr:uid="{00000000-0002-0000-49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IF('[8]CANOPY (15)'!C3="","",'[8]CANOPY (15)'!C3)</f>
        <v>#REF!</v>
      </c>
      <c r="E3" s="934"/>
      <c r="G3" s="71" t="s">
        <v>4</v>
      </c>
      <c r="H3" s="935" t="e">
        <f>IF('[8]CANOPY (15)'!G3="","",'[8]CANOPY (15)'!G3)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IF('[8]CANOPY (15)'!C5="","",'[8]CANOPY (15)'!C5)</f>
        <v>#REF!</v>
      </c>
      <c r="E5" s="934"/>
      <c r="G5" s="71" t="s">
        <v>8</v>
      </c>
      <c r="H5" s="935" t="e">
        <f>IF('[8]CANOPY (15)'!G5="","",'[8]CANOPY (15)'!G5)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IF('[8]CANOPY (15)'!C7="","",'[8]CANOPY (15)'!C7)</f>
        <v>#REF!</v>
      </c>
      <c r="E7" s="934"/>
      <c r="G7" s="71" t="s">
        <v>12</v>
      </c>
      <c r="H7" s="939" t="e">
        <f>IF('[8]CANOPY (15)'!G7="","",'[8]CANOPY (15)'!G7)</f>
        <v>#REF!</v>
      </c>
      <c r="I7" s="936"/>
      <c r="J7" s="937"/>
      <c r="N7" s="266" t="s">
        <v>14</v>
      </c>
      <c r="O7" s="787" t="e">
        <f>IF('[8]CANOPY (15)'!O7="","",'[8]CANOPY (15)'!O7)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597" priority="34">
      <formula>C9="CURRENCY"</formula>
    </cfRule>
    <cfRule type="containsText" dxfId="2596" priority="33" operator="containsText" text="SELECT">
      <formula>NOT(ISERROR(SEARCH("SELECT",C9)))</formula>
    </cfRule>
  </conditionalFormatting>
  <conditionalFormatting sqref="C14:C32">
    <cfRule type="expression" dxfId="2595" priority="10">
      <formula>$J14&gt;0</formula>
    </cfRule>
  </conditionalFormatting>
  <conditionalFormatting sqref="C36:C46">
    <cfRule type="expression" dxfId="2594" priority="9">
      <formula>$D36&gt;0</formula>
    </cfRule>
  </conditionalFormatting>
  <conditionalFormatting sqref="D36:D37 D39:D46">
    <cfRule type="cellIs" dxfId="2593" priority="35" operator="lessThan">
      <formula>1</formula>
    </cfRule>
  </conditionalFormatting>
  <conditionalFormatting sqref="D38">
    <cfRule type="cellIs" dxfId="2592" priority="30" operator="lessThan">
      <formula>1</formula>
    </cfRule>
  </conditionalFormatting>
  <conditionalFormatting sqref="D9:E9">
    <cfRule type="cellIs" dxfId="2591" priority="32" operator="greaterThan">
      <formula>0</formula>
    </cfRule>
    <cfRule type="cellIs" dxfId="2590" priority="31" operator="lessThan">
      <formula>0</formula>
    </cfRule>
  </conditionalFormatting>
  <conditionalFormatting sqref="F12">
    <cfRule type="cellIs" dxfId="2589" priority="42" operator="greaterThan">
      <formula>2000</formula>
    </cfRule>
    <cfRule type="expression" dxfId="2588" priority="41">
      <formula>ISNUMBER(SEARCH("I-MUAP",$E$14))</formula>
    </cfRule>
    <cfRule type="expression" dxfId="2587" priority="40">
      <formula>AND((ISNUMBER(SEARCH("I-MUAP",$E$14))),F12&lt;2500)</formula>
    </cfRule>
  </conditionalFormatting>
  <conditionalFormatting sqref="F12:G12">
    <cfRule type="cellIs" dxfId="2586" priority="36" operator="lessThan">
      <formula>1000</formula>
    </cfRule>
  </conditionalFormatting>
  <conditionalFormatting sqref="F14:G26">
    <cfRule type="cellIs" dxfId="2585" priority="2" operator="lessThan">
      <formula>1000</formula>
    </cfRule>
  </conditionalFormatting>
  <conditionalFormatting sqref="G12">
    <cfRule type="cellIs" dxfId="2584" priority="37" operator="greaterThan">
      <formula>3001</formula>
    </cfRule>
  </conditionalFormatting>
  <conditionalFormatting sqref="H11">
    <cfRule type="expression" dxfId="2583" priority="39">
      <formula>((G14-50)/I14)&lt;950</formula>
    </cfRule>
  </conditionalFormatting>
  <conditionalFormatting sqref="H12">
    <cfRule type="expression" dxfId="2582" priority="38">
      <formula>((G14-50)/I14)&lt;950</formula>
    </cfRule>
  </conditionalFormatting>
  <conditionalFormatting sqref="H14:H26">
    <cfRule type="cellIs" dxfId="2581" priority="3" operator="lessThan">
      <formula>400</formula>
    </cfRule>
  </conditionalFormatting>
  <conditionalFormatting sqref="H33">
    <cfRule type="expression" dxfId="2580" priority="47">
      <formula>((#REF!-50)/#REF!)&lt;950</formula>
    </cfRule>
  </conditionalFormatting>
  <conditionalFormatting sqref="J14:J30">
    <cfRule type="cellIs" dxfId="2579" priority="15" operator="greaterThan">
      <formula>0</formula>
    </cfRule>
  </conditionalFormatting>
  <conditionalFormatting sqref="J36:J46">
    <cfRule type="expression" dxfId="2578" priority="23">
      <formula>D36&gt;0</formula>
    </cfRule>
  </conditionalFormatting>
  <conditionalFormatting sqref="J48:J54">
    <cfRule type="expression" dxfId="2577" priority="28">
      <formula>#REF!="EURO"</formula>
    </cfRule>
  </conditionalFormatting>
  <conditionalFormatting sqref="K14:K32">
    <cfRule type="cellIs" dxfId="2576" priority="1" operator="greaterThan">
      <formula>0</formula>
    </cfRule>
  </conditionalFormatting>
  <conditionalFormatting sqref="K36:K46">
    <cfRule type="cellIs" dxfId="2575" priority="29" operator="greaterThan">
      <formula>0</formula>
    </cfRule>
  </conditionalFormatting>
  <conditionalFormatting sqref="K48:K54">
    <cfRule type="expression" dxfId="2574" priority="24">
      <formula>$C$9="PLN"</formula>
    </cfRule>
    <cfRule type="expression" dxfId="2573" priority="25">
      <formula>$C$9="CZK"</formula>
    </cfRule>
    <cfRule type="expression" dxfId="2572" priority="26">
      <formula>$C$9="USD"</formula>
    </cfRule>
    <cfRule type="expression" dxfId="2571" priority="27">
      <formula>$C$9="EURO"</formula>
    </cfRule>
  </conditionalFormatting>
  <conditionalFormatting sqref="L14:L32">
    <cfRule type="expression" dxfId="2570" priority="13">
      <formula>$D$9&lt;0</formula>
    </cfRule>
    <cfRule type="expression" dxfId="2569" priority="14">
      <formula>$D$9&gt;0</formula>
    </cfRule>
  </conditionalFormatting>
  <conditionalFormatting sqref="L36:L46">
    <cfRule type="expression" dxfId="2568" priority="12">
      <formula>$D$9&gt;0</formula>
    </cfRule>
    <cfRule type="expression" dxfId="2567" priority="11">
      <formula>$D$9&lt;0</formula>
    </cfRule>
  </conditionalFormatting>
  <conditionalFormatting sqref="N9 N12">
    <cfRule type="expression" dxfId="2566" priority="43">
      <formula>$C$9="PLN"</formula>
    </cfRule>
    <cfRule type="expression" dxfId="2565" priority="44">
      <formula>$C$9="CZK"</formula>
    </cfRule>
    <cfRule type="expression" dxfId="2564" priority="45">
      <formula>$C$9="USD"</formula>
    </cfRule>
    <cfRule type="expression" dxfId="2563" priority="46">
      <formula>$C$9="EURO"</formula>
    </cfRule>
  </conditionalFormatting>
  <conditionalFormatting sqref="N14:N32">
    <cfRule type="expression" dxfId="2562" priority="20">
      <formula>$C$9="EURO"</formula>
    </cfRule>
    <cfRule type="expression" dxfId="2561" priority="19">
      <formula>$C$9="USD"</formula>
    </cfRule>
    <cfRule type="expression" dxfId="2560" priority="18">
      <formula>$C$9="CZK"</formula>
    </cfRule>
    <cfRule type="expression" dxfId="2559" priority="17">
      <formula>$C$9="PLN"</formula>
    </cfRule>
  </conditionalFormatting>
  <conditionalFormatting sqref="N18:N20">
    <cfRule type="cellIs" dxfId="2558" priority="21" operator="greaterThan">
      <formula>0</formula>
    </cfRule>
  </conditionalFormatting>
  <conditionalFormatting sqref="N35:N46">
    <cfRule type="expression" dxfId="2557" priority="8">
      <formula>$C$9="EURO"</formula>
    </cfRule>
    <cfRule type="expression" dxfId="2556" priority="7">
      <formula>$C$9="USD"</formula>
    </cfRule>
    <cfRule type="expression" dxfId="2555" priority="6">
      <formula>$C$9="CZK"</formula>
    </cfRule>
    <cfRule type="expression" dxfId="2554" priority="5">
      <formula>$C$9="PLN"</formula>
    </cfRule>
  </conditionalFormatting>
  <conditionalFormatting sqref="N14:O32">
    <cfRule type="cellIs" dxfId="2553" priority="16" operator="greaterThan">
      <formula>0</formula>
    </cfRule>
  </conditionalFormatting>
  <conditionalFormatting sqref="N36:O46">
    <cfRule type="cellIs" dxfId="2552" priority="4" operator="greaterThan">
      <formula>0</formula>
    </cfRule>
  </conditionalFormatting>
  <conditionalFormatting sqref="O14:O20">
    <cfRule type="cellIs" dxfId="2551" priority="22" operator="greaterThan">
      <formula>0</formula>
    </cfRule>
  </conditionalFormatting>
  <dataValidations count="3">
    <dataValidation type="list" allowBlank="1" showInputMessage="1" showErrorMessage="1" sqref="H34" xr:uid="{00000000-0002-0000-4A00-000000000000}">
      <formula1>#REF!</formula1>
    </dataValidation>
    <dataValidation operator="greaterThan" allowBlank="1" showInputMessage="1" showErrorMessage="1" sqref="F14:F26" xr:uid="{00000000-0002-0000-4A00-000001000000}"/>
    <dataValidation type="list" allowBlank="1" showInputMessage="1" showErrorMessage="1" sqref="E14:E32" xr:uid="{00000000-0002-0000-4A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IF('[9]CANOPY (16)'!G3="","",'[9]CANOPY (16)'!G3)</f>
        <v>#REF!</v>
      </c>
      <c r="I2" s="975"/>
      <c r="J2" s="975"/>
      <c r="K2" s="975"/>
      <c r="L2" s="976"/>
      <c r="M2" s="483" t="s">
        <v>368</v>
      </c>
      <c r="N2" s="974" t="e">
        <f>IF('[9]CANOPY (16)'!C3="","",'[9]CANOPY (16)'!C3)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IF('[9]CANOPY (16)'!G3="","",'[9]CANOPY (16)'!G3)</f>
        <v>#REF!</v>
      </c>
      <c r="I2" s="975"/>
      <c r="J2" s="975"/>
      <c r="K2" s="975"/>
      <c r="L2" s="976"/>
      <c r="M2" s="483" t="s">
        <v>368</v>
      </c>
      <c r="N2" s="974" t="e">
        <f>IF('[9]CANOPY (16)'!C3="","",'[9]CANOPY (16)'!C3)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IF('[9]CANOPY (16)'!G3="","",'[9]CANOPY (16)'!G3)</f>
        <v>#REF!</v>
      </c>
      <c r="I2" s="975"/>
      <c r="J2" s="975"/>
      <c r="K2" s="975"/>
      <c r="L2" s="976"/>
      <c r="M2" s="483" t="s">
        <v>368</v>
      </c>
      <c r="N2" s="974" t="e">
        <f>IF('[9]CANOPY (16)'!C3="","",'[9]CANOPY (16)'!C3)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IF('[9]CANOPY (16)'!C3="","",'[9]CANOPY (16)'!C3)</f>
        <v>#REF!</v>
      </c>
      <c r="D3" s="979"/>
      <c r="E3" s="103" t="s">
        <v>4</v>
      </c>
      <c r="F3" s="935" t="e">
        <f>IF('[9]CANOPY (16)'!G3="","",'[9]CANOPY (16)'!G3)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IF('[9]CANOPY (16)'!C5="","",'[9]CANOPY (16)'!C5)</f>
        <v>#REF!</v>
      </c>
      <c r="D5" s="979"/>
      <c r="E5" s="103" t="s">
        <v>8</v>
      </c>
      <c r="F5" s="935" t="e">
        <f>IF('[9]CANOPY (16)'!G5="","",'[9]CANOPY (16)'!G5)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IF('[9]CANOPY (16)'!C7="","",'[9]CANOPY (16)'!C7)</f>
        <v>#REF!</v>
      </c>
      <c r="D7" s="979"/>
      <c r="E7" s="103" t="s">
        <v>12</v>
      </c>
      <c r="F7" s="939" t="e">
        <f>IF('[9]CANOPY (16)'!G7="","",'[9]CANOPY (16)'!G7)</f>
        <v>#REF!</v>
      </c>
      <c r="G7" s="979"/>
      <c r="H7" s="245"/>
      <c r="J7" s="240" t="s">
        <v>14</v>
      </c>
      <c r="K7" s="787" t="e">
        <f>IF('[9]CANOPY (16)'!O7="","",'[9]CANOPY (16)'!O7)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2550" priority="24">
      <formula>B9="CURRENCY"</formula>
    </cfRule>
    <cfRule type="containsText" dxfId="2549" priority="23" operator="containsText" text="SELECT">
      <formula>NOT(ISERROR(SEARCH("SELECT",B9)))</formula>
    </cfRule>
  </conditionalFormatting>
  <conditionalFormatting sqref="B13:B24">
    <cfRule type="expression" dxfId="2548" priority="6">
      <formula>$C13&gt;0</formula>
    </cfRule>
  </conditionalFormatting>
  <conditionalFormatting sqref="B25:B39">
    <cfRule type="expression" dxfId="2547" priority="5">
      <formula>$C25&gt;0</formula>
    </cfRule>
  </conditionalFormatting>
  <conditionalFormatting sqref="B40:B42">
    <cfRule type="expression" dxfId="2546" priority="4">
      <formula>$C40&gt;0</formula>
    </cfRule>
  </conditionalFormatting>
  <conditionalFormatting sqref="B43:B50">
    <cfRule type="expression" dxfId="2545" priority="1">
      <formula>$C43&gt;0</formula>
    </cfRule>
  </conditionalFormatting>
  <conditionalFormatting sqref="B51:B54">
    <cfRule type="expression" dxfId="2544" priority="3">
      <formula>$C51&gt;0</formula>
    </cfRule>
  </conditionalFormatting>
  <conditionalFormatting sqref="B57:B66">
    <cfRule type="expression" dxfId="2543" priority="2">
      <formula>$C57&gt;0</formula>
    </cfRule>
  </conditionalFormatting>
  <conditionalFormatting sqref="C13:C54">
    <cfRule type="cellIs" dxfId="2542" priority="10" operator="lessThan">
      <formula>1</formula>
    </cfRule>
  </conditionalFormatting>
  <conditionalFormatting sqref="C57:C66">
    <cfRule type="cellIs" dxfId="2541" priority="26" operator="equal">
      <formula>0</formula>
    </cfRule>
  </conditionalFormatting>
  <conditionalFormatting sqref="C9:D9">
    <cfRule type="cellIs" dxfId="2540" priority="20" operator="lessThan">
      <formula>0</formula>
    </cfRule>
    <cfRule type="cellIs" dxfId="2539" priority="21" operator="greaterThan">
      <formula>0</formula>
    </cfRule>
  </conditionalFormatting>
  <conditionalFormatting sqref="F13:F54">
    <cfRule type="expression" dxfId="2538" priority="9">
      <formula>C13&gt;0</formula>
    </cfRule>
  </conditionalFormatting>
  <conditionalFormatting sqref="F57:F66">
    <cfRule type="expression" dxfId="2537" priority="19">
      <formula>C57&gt;0</formula>
    </cfRule>
  </conditionalFormatting>
  <conditionalFormatting sqref="F58:F66">
    <cfRule type="expression" dxfId="2536" priority="25">
      <formula>C58&lt;1</formula>
    </cfRule>
  </conditionalFormatting>
  <conditionalFormatting sqref="G13:G54">
    <cfRule type="cellIs" dxfId="2535" priority="8" operator="greaterThan">
      <formula>0</formula>
    </cfRule>
  </conditionalFormatting>
  <conditionalFormatting sqref="G57:G66">
    <cfRule type="cellIs" dxfId="2534" priority="18" operator="greaterThan">
      <formula>0</formula>
    </cfRule>
  </conditionalFormatting>
  <conditionalFormatting sqref="H13:H54">
    <cfRule type="expression" dxfId="2533" priority="15">
      <formula>$C$9&gt;0</formula>
    </cfRule>
    <cfRule type="expression" dxfId="2532" priority="16">
      <formula>$C$9&lt;0</formula>
    </cfRule>
  </conditionalFormatting>
  <conditionalFormatting sqref="H57:H66">
    <cfRule type="expression" dxfId="2531" priority="32">
      <formula>$C$9&lt;0</formula>
    </cfRule>
    <cfRule type="expression" dxfId="2530" priority="31">
      <formula>$C$9&gt;0</formula>
    </cfRule>
  </conditionalFormatting>
  <conditionalFormatting sqref="J2:J6 J75:J1048576">
    <cfRule type="expression" dxfId="2529" priority="27">
      <formula>$B$9="EURO"</formula>
    </cfRule>
  </conditionalFormatting>
  <conditionalFormatting sqref="J8:J67">
    <cfRule type="expression" dxfId="2528" priority="11">
      <formula>$B$9="EURO"</formula>
    </cfRule>
  </conditionalFormatting>
  <conditionalFormatting sqref="J9 J56:J66">
    <cfRule type="expression" dxfId="2527" priority="28">
      <formula>$B$9="USD"</formula>
    </cfRule>
    <cfRule type="expression" dxfId="2526" priority="29">
      <formula>$B$9="PLN"</formula>
    </cfRule>
    <cfRule type="expression" dxfId="2525" priority="30">
      <formula>$B$9="CZK"</formula>
    </cfRule>
  </conditionalFormatting>
  <conditionalFormatting sqref="J12:J54">
    <cfRule type="expression" dxfId="2524" priority="14">
      <formula>$B$9="CZK"</formula>
    </cfRule>
    <cfRule type="expression" dxfId="2523" priority="13">
      <formula>$B$9="PLN"</formula>
    </cfRule>
    <cfRule type="expression" dxfId="2522" priority="12">
      <formula>$B$9="USD"</formula>
    </cfRule>
  </conditionalFormatting>
  <conditionalFormatting sqref="J68:J74">
    <cfRule type="expression" dxfId="2521" priority="22">
      <formula>$F$10="EURO"</formula>
    </cfRule>
  </conditionalFormatting>
  <conditionalFormatting sqref="J13:K54">
    <cfRule type="cellIs" dxfId="2520" priority="7" operator="greaterThan">
      <formula>0</formula>
    </cfRule>
  </conditionalFormatting>
  <conditionalFormatting sqref="J57:K66">
    <cfRule type="cellIs" dxfId="2519" priority="17" operator="greaterThan">
      <formula>0</formula>
    </cfRule>
  </conditionalFormatting>
  <dataValidations count="1">
    <dataValidation type="list" allowBlank="1" showInputMessage="1" showErrorMessage="1" sqref="D55" xr:uid="{00000000-0002-0000-4E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IF('[9]CANOPY (16)'!C3="","",'[9]CANOPY (16)'!C3)</f>
        <v>#REF!</v>
      </c>
      <c r="D3" s="979"/>
      <c r="E3" s="103" t="s">
        <v>4</v>
      </c>
      <c r="F3" s="935" t="e">
        <f>IF('[9]CANOPY (16)'!G3="","",'[9]CANOPY (16)'!G3)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IF('[9]CANOPY (16)'!C5="","",'[9]CANOPY (16)'!C5)</f>
        <v>#REF!</v>
      </c>
      <c r="D5" s="979"/>
      <c r="E5" s="103" t="s">
        <v>8</v>
      </c>
      <c r="F5" s="935" t="e">
        <f>IF('[9]CANOPY (16)'!G5="","",'[9]CANOPY (16)'!G5)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IF('[9]CANOPY (16)'!C7="","",'[9]CANOPY (16)'!C7)</f>
        <v>#REF!</v>
      </c>
      <c r="D7" s="979"/>
      <c r="E7" s="103" t="s">
        <v>12</v>
      </c>
      <c r="F7" s="939" t="e">
        <f>IF('[9]CANOPY (16)'!G7="","",'[9]CANOPY (16)'!G7)</f>
        <v>#REF!</v>
      </c>
      <c r="G7" s="979"/>
      <c r="H7" s="245"/>
      <c r="J7" s="240" t="s">
        <v>14</v>
      </c>
      <c r="K7" s="787" t="e">
        <f>IF('[9]CANOPY (16)'!O7="","",'[9]CANOPY (16)'!O7)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2518" priority="27">
      <formula>B9="CURRENCY"</formula>
    </cfRule>
    <cfRule type="containsText" dxfId="2517" priority="26" operator="containsText" text="SELECT">
      <formula>NOT(ISERROR(SEARCH("SELECT",B9)))</formula>
    </cfRule>
  </conditionalFormatting>
  <conditionalFormatting sqref="B13:B24">
    <cfRule type="expression" dxfId="2516" priority="4">
      <formula>$C13&gt;0</formula>
    </cfRule>
  </conditionalFormatting>
  <conditionalFormatting sqref="B25:B39">
    <cfRule type="expression" dxfId="2515" priority="3">
      <formula>$C25&gt;0</formula>
    </cfRule>
  </conditionalFormatting>
  <conditionalFormatting sqref="B40:B54">
    <cfRule type="expression" dxfId="2514" priority="2">
      <formula>$C40&gt;0</formula>
    </cfRule>
  </conditionalFormatting>
  <conditionalFormatting sqref="B57:B66">
    <cfRule type="expression" dxfId="2513" priority="1">
      <formula>$C57&gt;0</formula>
    </cfRule>
  </conditionalFormatting>
  <conditionalFormatting sqref="C13:C54">
    <cfRule type="cellIs" dxfId="2512" priority="13" operator="lessThan">
      <formula>1</formula>
    </cfRule>
  </conditionalFormatting>
  <conditionalFormatting sqref="C57:C66">
    <cfRule type="cellIs" dxfId="2511" priority="29" operator="equal">
      <formula>0</formula>
    </cfRule>
  </conditionalFormatting>
  <conditionalFormatting sqref="C9:D9">
    <cfRule type="cellIs" dxfId="2510" priority="24" operator="greaterThan">
      <formula>0</formula>
    </cfRule>
    <cfRule type="cellIs" dxfId="2509" priority="23" operator="lessThan">
      <formula>0</formula>
    </cfRule>
  </conditionalFormatting>
  <conditionalFormatting sqref="F13:F54">
    <cfRule type="expression" dxfId="2508" priority="12">
      <formula>C13&gt;0</formula>
    </cfRule>
  </conditionalFormatting>
  <conditionalFormatting sqref="F57:F66">
    <cfRule type="expression" dxfId="2507" priority="22">
      <formula>C57&gt;0</formula>
    </cfRule>
  </conditionalFormatting>
  <conditionalFormatting sqref="F58:F66">
    <cfRule type="expression" dxfId="2506" priority="28">
      <formula>C58&lt;1</formula>
    </cfRule>
  </conditionalFormatting>
  <conditionalFormatting sqref="G13:G54">
    <cfRule type="cellIs" dxfId="2505" priority="11" operator="greaterThan">
      <formula>0</formula>
    </cfRule>
  </conditionalFormatting>
  <conditionalFormatting sqref="G57:G66">
    <cfRule type="cellIs" dxfId="2504" priority="21" operator="greaterThan">
      <formula>0</formula>
    </cfRule>
  </conditionalFormatting>
  <conditionalFormatting sqref="H13:H54">
    <cfRule type="expression" dxfId="2503" priority="18">
      <formula>$C$9&gt;0</formula>
    </cfRule>
    <cfRule type="expression" dxfId="2502" priority="19">
      <formula>$C$9&lt;0</formula>
    </cfRule>
  </conditionalFormatting>
  <conditionalFormatting sqref="H57:H66">
    <cfRule type="expression" dxfId="2501" priority="34">
      <formula>$C$9&gt;0</formula>
    </cfRule>
    <cfRule type="expression" dxfId="2500" priority="35">
      <formula>$C$9&lt;0</formula>
    </cfRule>
  </conditionalFormatting>
  <conditionalFormatting sqref="J2:J6 J75:J1048576">
    <cfRule type="expression" dxfId="2499" priority="30">
      <formula>$B$9="EURO"</formula>
    </cfRule>
  </conditionalFormatting>
  <conditionalFormatting sqref="J8:J67">
    <cfRule type="expression" dxfId="2498" priority="14">
      <formula>$B$9="EURO"</formula>
    </cfRule>
  </conditionalFormatting>
  <conditionalFormatting sqref="J9 J56:J66">
    <cfRule type="expression" dxfId="2497" priority="31">
      <formula>$B$9="USD"</formula>
    </cfRule>
    <cfRule type="expression" dxfId="2496" priority="32">
      <formula>$B$9="PLN"</formula>
    </cfRule>
    <cfRule type="expression" dxfId="2495" priority="33">
      <formula>$B$9="CZK"</formula>
    </cfRule>
  </conditionalFormatting>
  <conditionalFormatting sqref="J12:J54">
    <cfRule type="expression" dxfId="2494" priority="17">
      <formula>$B$9="CZK"</formula>
    </cfRule>
    <cfRule type="expression" dxfId="2493" priority="16">
      <formula>$B$9="PLN"</formula>
    </cfRule>
    <cfRule type="expression" dxfId="2492" priority="15">
      <formula>$B$9="USD"</formula>
    </cfRule>
  </conditionalFormatting>
  <conditionalFormatting sqref="J68:J74">
    <cfRule type="expression" dxfId="2491" priority="25">
      <formula>$F$10="EURO"</formula>
    </cfRule>
  </conditionalFormatting>
  <conditionalFormatting sqref="J13:K54">
    <cfRule type="cellIs" dxfId="2490" priority="10" operator="greaterThan">
      <formula>0</formula>
    </cfRule>
  </conditionalFormatting>
  <conditionalFormatting sqref="J57:K66">
    <cfRule type="cellIs" dxfId="2489" priority="20" operator="greaterThan">
      <formula>0</formula>
    </cfRule>
  </conditionalFormatting>
  <conditionalFormatting sqref="M12:P54">
    <cfRule type="expression" dxfId="2488" priority="9">
      <formula>$B$9="CZK"</formula>
    </cfRule>
    <cfRule type="expression" dxfId="2487" priority="8">
      <formula>$B$9="PLN"</formula>
    </cfRule>
    <cfRule type="expression" dxfId="2486" priority="7">
      <formula>$B$9="USD"</formula>
    </cfRule>
    <cfRule type="expression" dxfId="2485" priority="6">
      <formula>$B$9="EURO"</formula>
    </cfRule>
  </conditionalFormatting>
  <conditionalFormatting sqref="M13:P54">
    <cfRule type="cellIs" dxfId="2484" priority="5" operator="greaterThan">
      <formula>0</formula>
    </cfRule>
  </conditionalFormatting>
  <dataValidations count="3">
    <dataValidation type="list" allowBlank="1" showInputMessage="1" showErrorMessage="1" sqref="D26" xr:uid="{00000000-0002-0000-4F00-000000000000}">
      <formula1>$H$17:$H$21</formula1>
    </dataValidation>
    <dataValidation type="list" allowBlank="1" showInputMessage="1" showErrorMessage="1" sqref="D55" xr:uid="{00000000-0002-0000-4F00-000001000000}">
      <formula1>$B$3:$B$15</formula1>
    </dataValidation>
    <dataValidation type="list" allowBlank="1" showInputMessage="1" showErrorMessage="1" sqref="D13" xr:uid="{00000000-0002-0000-4F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IF('[9]CANOPY (16)'!C3="","",'[9]CANOPY (16)'!C3)</f>
        <v>#REF!</v>
      </c>
      <c r="D3" s="979"/>
      <c r="E3" s="122" t="s">
        <v>4</v>
      </c>
      <c r="F3" s="987" t="e">
        <f>IF('[9]CANOPY (16)'!G3="","",'[9]CANOPY (16)'!G3)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IF('[9]CANOPY (16)'!C5="","",'[9]CANOPY (16)'!C5)</f>
        <v>#REF!</v>
      </c>
      <c r="D5" s="979"/>
      <c r="E5" s="122" t="s">
        <v>8</v>
      </c>
      <c r="F5" s="987" t="e">
        <f>IF('[9]CANOPY (16)'!G5="","",'[9]CANOPY (16)'!G5)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IF('[9]CANOPY (16)'!C7="","",'[9]CANOPY (16)'!C7)</f>
        <v>#REF!</v>
      </c>
      <c r="D7" s="979"/>
      <c r="E7" s="122" t="s">
        <v>12</v>
      </c>
      <c r="F7" s="989" t="e">
        <f>IF('[9]CANOPY (16)'!G7="","",'[9]CANOPY (16)'!G7)</f>
        <v>#REF!</v>
      </c>
      <c r="G7" s="979"/>
      <c r="H7" s="979"/>
      <c r="J7" s="197" t="s">
        <v>14</v>
      </c>
      <c r="K7" s="484" t="e">
        <f>IF('[9]CANOPY (16)'!O7="","",'[9]CANOPY (16)'!O7)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483" priority="8" operator="containsText" text="SELECT">
      <formula>NOT(ISERROR(SEARCH("SELECT",B10)))</formula>
    </cfRule>
    <cfRule type="expression" dxfId="2482" priority="9">
      <formula>B10="CURRENCY"</formula>
    </cfRule>
  </conditionalFormatting>
  <conditionalFormatting sqref="B14:B41">
    <cfRule type="expression" dxfId="2481" priority="2">
      <formula>$C14&gt;0</formula>
    </cfRule>
  </conditionalFormatting>
  <conditionalFormatting sqref="B44:B55">
    <cfRule type="expression" dxfId="2480" priority="1">
      <formula>$C44&gt;0</formula>
    </cfRule>
  </conditionalFormatting>
  <conditionalFormatting sqref="C14:C41 C44:C55">
    <cfRule type="cellIs" dxfId="2479" priority="12" operator="equal">
      <formula>0</formula>
    </cfRule>
  </conditionalFormatting>
  <conditionalFormatting sqref="C10:D10">
    <cfRule type="cellIs" dxfId="2478" priority="6" operator="lessThan">
      <formula>0</formula>
    </cfRule>
    <cfRule type="cellIs" dxfId="2477" priority="7" operator="greaterThan">
      <formula>0</formula>
    </cfRule>
  </conditionalFormatting>
  <conditionalFormatting sqref="E12:E13">
    <cfRule type="cellIs" dxfId="2476" priority="10" operator="greaterThan">
      <formula>0</formula>
    </cfRule>
    <cfRule type="cellIs" dxfId="2475" priority="11" operator="lessThan">
      <formula>0</formula>
    </cfRule>
  </conditionalFormatting>
  <conditionalFormatting sqref="F14:F41 F44:F55">
    <cfRule type="expression" dxfId="2474" priority="5">
      <formula>C14&gt;0</formula>
    </cfRule>
  </conditionalFormatting>
  <conditionalFormatting sqref="G14:G41 G44:G55">
    <cfRule type="cellIs" dxfId="2473" priority="4" operator="greaterThan">
      <formula>0</formula>
    </cfRule>
  </conditionalFormatting>
  <conditionalFormatting sqref="H14:H41 H44:H55">
    <cfRule type="expression" dxfId="2472" priority="17">
      <formula>$C$10&lt;0</formula>
    </cfRule>
    <cfRule type="expression" dxfId="2471" priority="18">
      <formula>$C$10&gt;0</formula>
    </cfRule>
  </conditionalFormatting>
  <conditionalFormatting sqref="J1:J6 J8:J11 J13:J1048576">
    <cfRule type="expression" dxfId="2470" priority="13">
      <formula>$B$10="EURO"</formula>
    </cfRule>
  </conditionalFormatting>
  <conditionalFormatting sqref="J10 J13:J41 J43:J55">
    <cfRule type="expression" dxfId="2469" priority="14">
      <formula>$B$10="PLN"</formula>
    </cfRule>
    <cfRule type="expression" dxfId="2468" priority="15">
      <formula>$B$10="CZK"</formula>
    </cfRule>
    <cfRule type="expression" dxfId="2467" priority="16">
      <formula>$B$10="USD"</formula>
    </cfRule>
  </conditionalFormatting>
  <conditionalFormatting sqref="J14:K41 J44:K56">
    <cfRule type="cellIs" dxfId="2466" priority="3" operator="greaterThan">
      <formula>0</formula>
    </cfRule>
  </conditionalFormatting>
  <dataValidations count="1">
    <dataValidation type="list" allowBlank="1" showInputMessage="1" showErrorMessage="1" sqref="F12:F13" xr:uid="{00000000-0002-0000-50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IF('[9]CANOPY (16)'!C3="","",'[9]CANOPY (16)'!C3)</f>
        <v>#REF!</v>
      </c>
      <c r="D3" s="990"/>
      <c r="E3" s="129"/>
      <c r="F3" s="132" t="s">
        <v>4</v>
      </c>
      <c r="G3" s="938" t="e">
        <f>IF('[9]CANOPY (16)'!G3="","",'[9]CANOPY (16)'!G3)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IF('[9]CANOPY (16)'!C5="","",'[9]CANOPY (16)'!C5)</f>
        <v>#REF!</v>
      </c>
      <c r="D5" s="990"/>
      <c r="E5" s="131"/>
      <c r="F5" s="132" t="s">
        <v>8</v>
      </c>
      <c r="G5" s="938" t="e">
        <f>IF('[9]CANOPY (16)'!G5="","",'[9]CANOPY (16)'!G5)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IF('[9]CANOPY (16)'!C7="","",'[9]CANOPY (16)'!C7)</f>
        <v>#REF!</v>
      </c>
      <c r="D7" s="990"/>
      <c r="E7" s="135"/>
      <c r="F7" s="136" t="s">
        <v>12</v>
      </c>
      <c r="G7" s="939" t="e">
        <f>IF('[9]CANOPY (16)'!G7="","",'[9]CANOPY (16)'!G7)</f>
        <v>#REF!</v>
      </c>
      <c r="H7" s="990"/>
      <c r="I7" s="51"/>
      <c r="J7" s="280"/>
      <c r="K7" s="280" t="s">
        <v>14</v>
      </c>
      <c r="L7" s="484" t="e">
        <f>IF('[9]CANOPY (16)'!O7="","",'[9]CANOPY (16)'!O7)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2465" priority="26">
      <formula>B9="CURRENCY"</formula>
    </cfRule>
    <cfRule type="containsText" dxfId="2464" priority="25" operator="containsText" text="SELECT">
      <formula>NOT(ISERROR(SEARCH("SELECT",B9)))</formula>
    </cfRule>
  </conditionalFormatting>
  <conditionalFormatting sqref="B15:B29">
    <cfRule type="expression" dxfId="2463" priority="9">
      <formula>$D15&gt;0</formula>
    </cfRule>
  </conditionalFormatting>
  <conditionalFormatting sqref="B49 E49:F49">
    <cfRule type="expression" dxfId="2462" priority="49">
      <formula>C40="select controls"</formula>
    </cfRule>
  </conditionalFormatting>
  <conditionalFormatting sqref="C13">
    <cfRule type="containsText" dxfId="2461" priority="29" operator="containsText" text="SELECT">
      <formula>NOT(ISERROR(SEARCH("SELECT",C13)))</formula>
    </cfRule>
  </conditionalFormatting>
  <conditionalFormatting sqref="C15:C22">
    <cfRule type="containsText" dxfId="2460" priority="15" operator="containsText" text="SIZE">
      <formula>NOT(ISERROR(SEARCH("SIZE",C15)))</formula>
    </cfRule>
  </conditionalFormatting>
  <conditionalFormatting sqref="C25">
    <cfRule type="containsText" dxfId="2459" priority="37" operator="containsText" text="SELECT CONTROLS">
      <formula>NOT(ISERROR(SEARCH("SELECT CONTROLS",C25)))</formula>
    </cfRule>
  </conditionalFormatting>
  <conditionalFormatting sqref="C26">
    <cfRule type="expression" dxfId="2458" priority="32">
      <formula>$C$25="SMARTEC"</formula>
    </cfRule>
    <cfRule type="containsText" dxfId="2457" priority="31" operator="containsText" text="st/st">
      <formula>NOT(ISERROR(SEARCH("st/st",C26)))</formula>
    </cfRule>
  </conditionalFormatting>
  <conditionalFormatting sqref="C31:C32">
    <cfRule type="cellIs" dxfId="2456" priority="20" operator="greaterThan">
      <formula>0</formula>
    </cfRule>
  </conditionalFormatting>
  <conditionalFormatting sqref="C52:C61">
    <cfRule type="cellIs" dxfId="2455" priority="28" operator="lessThan">
      <formula>1</formula>
    </cfRule>
  </conditionalFormatting>
  <conditionalFormatting sqref="C9:D9">
    <cfRule type="cellIs" dxfId="2454" priority="23" operator="lessThan">
      <formula>0</formula>
    </cfRule>
    <cfRule type="cellIs" dxfId="2453" priority="24" operator="greaterThan">
      <formula>0</formula>
    </cfRule>
  </conditionalFormatting>
  <conditionalFormatting sqref="C29:D29">
    <cfRule type="expression" dxfId="2452" priority="36">
      <formula>$C$25="REMOTE TOUCH SCREEN"</formula>
    </cfRule>
    <cfRule type="expression" dxfId="2451" priority="35">
      <formula>$C$25="SMARTEC"</formula>
    </cfRule>
  </conditionalFormatting>
  <conditionalFormatting sqref="D26">
    <cfRule type="expression" dxfId="2450" priority="33">
      <formula>C25="SMARTEC"</formula>
    </cfRule>
    <cfRule type="expression" dxfId="2449" priority="30">
      <formula>C26="st/st enclosure"</formula>
    </cfRule>
  </conditionalFormatting>
  <conditionalFormatting sqref="D29">
    <cfRule type="expression" dxfId="2448" priority="34">
      <formula>$C$25="SMARTEC"</formula>
    </cfRule>
  </conditionalFormatting>
  <conditionalFormatting sqref="D38">
    <cfRule type="expression" dxfId="2447" priority="48">
      <formula>#REF!="SMARTEC"</formula>
    </cfRule>
    <cfRule type="expression" dxfId="2446" priority="47">
      <formula>C38="st/st enclosure"</formula>
    </cfRule>
  </conditionalFormatting>
  <conditionalFormatting sqref="E39:E43">
    <cfRule type="expression" dxfId="2445" priority="46">
      <formula>#REF!="select controls"</formula>
    </cfRule>
  </conditionalFormatting>
  <conditionalFormatting sqref="E44:F45 B45:B48 E46:E47 E48:F48">
    <cfRule type="expression" dxfId="2444" priority="27">
      <formula>C38="select controls"</formula>
    </cfRule>
  </conditionalFormatting>
  <conditionalFormatting sqref="F40">
    <cfRule type="expression" dxfId="2443" priority="1">
      <formula>G34="select controls"</formula>
    </cfRule>
  </conditionalFormatting>
  <conditionalFormatting sqref="G15:G36">
    <cfRule type="cellIs" dxfId="2442" priority="2" operator="greaterThan">
      <formula>0</formula>
    </cfRule>
  </conditionalFormatting>
  <conditionalFormatting sqref="G38:G49">
    <cfRule type="cellIs" dxfId="2441" priority="18" operator="greaterThan">
      <formula>0</formula>
    </cfRule>
  </conditionalFormatting>
  <conditionalFormatting sqref="G52:G61">
    <cfRule type="expression" dxfId="2440" priority="8">
      <formula>C52&gt;0</formula>
    </cfRule>
  </conditionalFormatting>
  <conditionalFormatting sqref="H13 J13 L13">
    <cfRule type="expression" dxfId="2439" priority="38">
      <formula>$B$9="EURO"</formula>
    </cfRule>
  </conditionalFormatting>
  <conditionalFormatting sqref="H15:H61">
    <cfRule type="cellIs" dxfId="2438" priority="19" operator="greaterThan">
      <formula>0</formula>
    </cfRule>
  </conditionalFormatting>
  <conditionalFormatting sqref="I15:I36 I38:I49 I52:I61">
    <cfRule type="expression" dxfId="2437" priority="44">
      <formula>$C$9&lt;0</formula>
    </cfRule>
    <cfRule type="expression" dxfId="2436" priority="43">
      <formula>$C$9&gt;0</formula>
    </cfRule>
  </conditionalFormatting>
  <conditionalFormatting sqref="J37">
    <cfRule type="expression" dxfId="2435" priority="42">
      <formula>$B$9="EURO"</formula>
    </cfRule>
    <cfRule type="expression" dxfId="2434" priority="41">
      <formula>$B$9="USD"</formula>
    </cfRule>
    <cfRule type="expression" dxfId="2433" priority="40">
      <formula>$B$9="CZK"</formula>
    </cfRule>
    <cfRule type="expression" dxfId="2432" priority="39">
      <formula>$B$9="PLN"</formula>
    </cfRule>
  </conditionalFormatting>
  <conditionalFormatting sqref="J63:J69">
    <cfRule type="expression" dxfId="2431" priority="45">
      <formula>#REF!="EURO"</formula>
    </cfRule>
  </conditionalFormatting>
  <conditionalFormatting sqref="K1:K36">
    <cfRule type="expression" dxfId="2430" priority="5">
      <formula>$B$9="USD"</formula>
    </cfRule>
    <cfRule type="expression" dxfId="2429" priority="4">
      <formula>$B$9="EURO"</formula>
    </cfRule>
    <cfRule type="expression" dxfId="2428" priority="6">
      <formula>$B$9="PLN"</formula>
    </cfRule>
  </conditionalFormatting>
  <conditionalFormatting sqref="K1:K1048576">
    <cfRule type="expression" dxfId="2427" priority="7">
      <formula>$B$9="CZK"</formula>
    </cfRule>
  </conditionalFormatting>
  <conditionalFormatting sqref="K15:K36">
    <cfRule type="cellIs" dxfId="2426" priority="3" operator="greaterThan">
      <formula>0</formula>
    </cfRule>
  </conditionalFormatting>
  <conditionalFormatting sqref="K38:K49">
    <cfRule type="cellIs" dxfId="2425" priority="14" operator="greaterThan">
      <formula>0</formula>
    </cfRule>
  </conditionalFormatting>
  <conditionalFormatting sqref="K38:K1048576">
    <cfRule type="expression" dxfId="2424" priority="11">
      <formula>$B$9="EURO"</formula>
    </cfRule>
    <cfRule type="expression" dxfId="2423" priority="12">
      <formula>$B$9="USD"</formula>
    </cfRule>
    <cfRule type="expression" dxfId="2422" priority="13">
      <formula>$B$9="PLN"</formula>
    </cfRule>
  </conditionalFormatting>
  <conditionalFormatting sqref="K50">
    <cfRule type="cellIs" dxfId="2421" priority="22" operator="greaterThan">
      <formula>0</formula>
    </cfRule>
  </conditionalFormatting>
  <conditionalFormatting sqref="K52:K61">
    <cfRule type="cellIs" dxfId="2420" priority="10" operator="greaterThan">
      <formula>0</formula>
    </cfRule>
  </conditionalFormatting>
  <conditionalFormatting sqref="L15:L36 L52:L61">
    <cfRule type="cellIs" dxfId="2419" priority="21" operator="greaterThan">
      <formula>0</formula>
    </cfRule>
  </conditionalFormatting>
  <conditionalFormatting sqref="L38:L49">
    <cfRule type="cellIs" dxfId="2418" priority="17" operator="greaterThan">
      <formula>0</formula>
    </cfRule>
  </conditionalFormatting>
  <conditionalFormatting sqref="U40">
    <cfRule type="cellIs" dxfId="2417" priority="16" operator="greaterThan">
      <formula>0</formula>
    </cfRule>
  </conditionalFormatting>
  <dataValidations count="3">
    <dataValidation type="list" allowBlank="1" showInputMessage="1" showErrorMessage="1" sqref="C25" xr:uid="{00000000-0002-0000-5100-000000000000}">
      <formula1>"SELECT CONTROLS,SMARTEC, REMOTE TOUCH SCREEN"</formula1>
    </dataValidation>
    <dataValidation type="list" allowBlank="1" showInputMessage="1" showErrorMessage="1" sqref="C13" xr:uid="{00000000-0002-0000-51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1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IF('[9]CANOPY (16)'!C3="","",'[9]CANOPY (16)'!C3)</f>
        <v>#REF!</v>
      </c>
      <c r="D3" s="990"/>
      <c r="E3" s="129"/>
      <c r="F3" s="132" t="s">
        <v>4</v>
      </c>
      <c r="G3" s="938" t="e">
        <f>IF('[9]CANOPY (16)'!G3="","",'[9]CANOPY (16)'!G3)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IF('[9]CANOPY (16)'!C5="","",'[9]CANOPY (16)'!C5)</f>
        <v>#REF!</v>
      </c>
      <c r="D5" s="990"/>
      <c r="E5" s="131"/>
      <c r="F5" s="132" t="s">
        <v>8</v>
      </c>
      <c r="G5" s="938" t="e">
        <f>IF('[9]CANOPY (16)'!G5="","",'[9]CANOPY (16)'!G5)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IF('[9]CANOPY (16)'!C7="","",'[9]CANOPY (16)'!C7)</f>
        <v>#REF!</v>
      </c>
      <c r="D7" s="990"/>
      <c r="E7" s="135"/>
      <c r="F7" s="136" t="s">
        <v>12</v>
      </c>
      <c r="G7" s="939" t="e">
        <f>IF('[9]CANOPY (16)'!G7="","",'[9]CANOPY (16)'!G7)</f>
        <v>#REF!</v>
      </c>
      <c r="H7" s="990"/>
      <c r="I7" s="51"/>
      <c r="J7" s="280"/>
      <c r="K7" s="280" t="s">
        <v>14</v>
      </c>
      <c r="L7" s="484" t="e">
        <f>IF('[9]CANOPY (16)'!O7="","",'[9]CANOPY (16)'!O7)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2416" priority="30">
      <formula>B9="CURRENCY"</formula>
    </cfRule>
    <cfRule type="containsText" dxfId="2415" priority="29" operator="containsText" text="SELECT">
      <formula>NOT(ISERROR(SEARCH("SELECT",B9)))</formula>
    </cfRule>
  </conditionalFormatting>
  <conditionalFormatting sqref="B15:B30">
    <cfRule type="expression" dxfId="2414" priority="2">
      <formula>$D15&gt;0</formula>
    </cfRule>
  </conditionalFormatting>
  <conditionalFormatting sqref="B50 E50:F50">
    <cfRule type="expression" dxfId="2413" priority="53">
      <formula>C41="select controls"</formula>
    </cfRule>
  </conditionalFormatting>
  <conditionalFormatting sqref="C13">
    <cfRule type="containsText" dxfId="2412" priority="33" operator="containsText" text="SELECT">
      <formula>NOT(ISERROR(SEARCH("SELECT",C13)))</formula>
    </cfRule>
  </conditionalFormatting>
  <conditionalFormatting sqref="C15:C23">
    <cfRule type="containsText" dxfId="2411" priority="8" operator="containsText" text="SIZE">
      <formula>NOT(ISERROR(SEARCH("SIZE",C15)))</formula>
    </cfRule>
  </conditionalFormatting>
  <conditionalFormatting sqref="C26">
    <cfRule type="containsText" dxfId="2410" priority="41" operator="containsText" text="SELECT CONTROLS">
      <formula>NOT(ISERROR(SEARCH("SELECT CONTROLS",C26)))</formula>
    </cfRule>
  </conditionalFormatting>
  <conditionalFormatting sqref="C27">
    <cfRule type="expression" dxfId="2409" priority="36">
      <formula>$C$26="SMARTEC"</formula>
    </cfRule>
    <cfRule type="containsText" dxfId="2408" priority="35" operator="containsText" text="st/st">
      <formula>NOT(ISERROR(SEARCH("st/st",C27)))</formula>
    </cfRule>
  </conditionalFormatting>
  <conditionalFormatting sqref="C32:C33">
    <cfRule type="cellIs" dxfId="2407" priority="24" operator="greaterThan">
      <formula>0</formula>
    </cfRule>
  </conditionalFormatting>
  <conditionalFormatting sqref="C53:C62">
    <cfRule type="cellIs" dxfId="2406" priority="32" operator="lessThan">
      <formula>1</formula>
    </cfRule>
  </conditionalFormatting>
  <conditionalFormatting sqref="C9:D9">
    <cfRule type="cellIs" dxfId="2405" priority="27" operator="lessThan">
      <formula>0</formula>
    </cfRule>
    <cfRule type="cellIs" dxfId="2404" priority="28" operator="greaterThan">
      <formula>0</formula>
    </cfRule>
  </conditionalFormatting>
  <conditionalFormatting sqref="C30:D30">
    <cfRule type="expression" dxfId="2403" priority="40">
      <formula>$C$26="REMOTE TOUCH SCREEN"</formula>
    </cfRule>
    <cfRule type="expression" dxfId="2402" priority="39">
      <formula>$C$26="SMARTEC"</formula>
    </cfRule>
  </conditionalFormatting>
  <conditionalFormatting sqref="D27">
    <cfRule type="expression" dxfId="2401" priority="37">
      <formula>C26="SMARTEC"</formula>
    </cfRule>
    <cfRule type="expression" dxfId="2400" priority="34">
      <formula>C27="st/st enclosure"</formula>
    </cfRule>
  </conditionalFormatting>
  <conditionalFormatting sqref="D30">
    <cfRule type="expression" dxfId="2399" priority="38">
      <formula>$C$26="SMARTEC"</formula>
    </cfRule>
  </conditionalFormatting>
  <conditionalFormatting sqref="D39">
    <cfRule type="expression" dxfId="2398" priority="52">
      <formula>#REF!="SMARTEC"</formula>
    </cfRule>
    <cfRule type="expression" dxfId="2397" priority="51">
      <formula>C39="st/st enclosure"</formula>
    </cfRule>
  </conditionalFormatting>
  <conditionalFormatting sqref="E40:E44">
    <cfRule type="expression" dxfId="2396" priority="50">
      <formula>#REF!="select controls"</formula>
    </cfRule>
  </conditionalFormatting>
  <conditionalFormatting sqref="E45 E46:F46 B46:B47 E47:E48 B49 E49:F49">
    <cfRule type="expression" dxfId="2395" priority="31">
      <formula>C39="select controls"</formula>
    </cfRule>
  </conditionalFormatting>
  <conditionalFormatting sqref="F41:F45">
    <cfRule type="expression" dxfId="2394" priority="1">
      <formula>G35="select controls"</formula>
    </cfRule>
  </conditionalFormatting>
  <conditionalFormatting sqref="G15:G37">
    <cfRule type="cellIs" dxfId="2393" priority="9" operator="greaterThan">
      <formula>0</formula>
    </cfRule>
  </conditionalFormatting>
  <conditionalFormatting sqref="G39:G50">
    <cfRule type="cellIs" dxfId="2392" priority="14" operator="greaterThan">
      <formula>0</formula>
    </cfRule>
  </conditionalFormatting>
  <conditionalFormatting sqref="G53:G62">
    <cfRule type="expression" dxfId="2391" priority="15">
      <formula>C53&gt;0</formula>
    </cfRule>
  </conditionalFormatting>
  <conditionalFormatting sqref="H13 J13 L13">
    <cfRule type="expression" dxfId="2390" priority="42">
      <formula>$B$9="EURO"</formula>
    </cfRule>
  </conditionalFormatting>
  <conditionalFormatting sqref="H23">
    <cfRule type="cellIs" dxfId="2389" priority="11" operator="greaterThan">
      <formula>0</formula>
    </cfRule>
  </conditionalFormatting>
  <conditionalFormatting sqref="H25:H62">
    <cfRule type="cellIs" dxfId="2388" priority="23" operator="greaterThan">
      <formula>0</formula>
    </cfRule>
  </conditionalFormatting>
  <conditionalFormatting sqref="H15:L22 L53:L62">
    <cfRule type="cellIs" dxfId="2387" priority="25" operator="greaterThan">
      <formula>0</formula>
    </cfRule>
  </conditionalFormatting>
  <conditionalFormatting sqref="I15:I37">
    <cfRule type="expression" dxfId="2386" priority="12">
      <formula>$C$9&gt;0</formula>
    </cfRule>
  </conditionalFormatting>
  <conditionalFormatting sqref="I23:I37">
    <cfRule type="expression" dxfId="2385" priority="13">
      <formula>$C$9&lt;0</formula>
    </cfRule>
  </conditionalFormatting>
  <conditionalFormatting sqref="I39:I50 I53:I62 I15:I22">
    <cfRule type="expression" dxfId="2384" priority="48">
      <formula>$C$9&lt;0</formula>
    </cfRule>
  </conditionalFormatting>
  <conditionalFormatting sqref="I39:I50 I53:I62">
    <cfRule type="expression" dxfId="2383" priority="47">
      <formula>$C$9&gt;0</formula>
    </cfRule>
  </conditionalFormatting>
  <conditionalFormatting sqref="J38">
    <cfRule type="expression" dxfId="2382" priority="43">
      <formula>$B$9="PLN"</formula>
    </cfRule>
    <cfRule type="expression" dxfId="2381" priority="44">
      <formula>$B$9="CZK"</formula>
    </cfRule>
    <cfRule type="expression" dxfId="2380" priority="45">
      <formula>$B$9="USD"</formula>
    </cfRule>
    <cfRule type="expression" dxfId="2379" priority="46">
      <formula>$B$9="EURO"</formula>
    </cfRule>
  </conditionalFormatting>
  <conditionalFormatting sqref="J64:J70">
    <cfRule type="expression" dxfId="2378" priority="49">
      <formula>#REF!="EURO"</formula>
    </cfRule>
  </conditionalFormatting>
  <conditionalFormatting sqref="K1:K37">
    <cfRule type="expression" dxfId="2377" priority="5">
      <formula>$B$9="USD"</formula>
    </cfRule>
    <cfRule type="expression" dxfId="2376" priority="4">
      <formula>$B$9="EURO"</formula>
    </cfRule>
    <cfRule type="expression" dxfId="2375" priority="6">
      <formula>$B$9="PLN"</formula>
    </cfRule>
  </conditionalFormatting>
  <conditionalFormatting sqref="K1:K1048576">
    <cfRule type="expression" dxfId="2374" priority="7">
      <formula>$B$9="CZK"</formula>
    </cfRule>
  </conditionalFormatting>
  <conditionalFormatting sqref="K15:K37">
    <cfRule type="cellIs" dxfId="2373" priority="3" operator="greaterThan">
      <formula>0</formula>
    </cfRule>
  </conditionalFormatting>
  <conditionalFormatting sqref="K39:K50">
    <cfRule type="cellIs" dxfId="2372" priority="20" operator="greaterThan">
      <formula>0</formula>
    </cfRule>
  </conditionalFormatting>
  <conditionalFormatting sqref="K39:K1048576">
    <cfRule type="expression" dxfId="2371" priority="19">
      <formula>$B$9="PLN"</formula>
    </cfRule>
    <cfRule type="expression" dxfId="2370" priority="18">
      <formula>$B$9="USD"</formula>
    </cfRule>
    <cfRule type="expression" dxfId="2369" priority="17">
      <formula>$B$9="EURO"</formula>
    </cfRule>
  </conditionalFormatting>
  <conditionalFormatting sqref="K51">
    <cfRule type="cellIs" dxfId="2368" priority="26" operator="greaterThan">
      <formula>0</formula>
    </cfRule>
  </conditionalFormatting>
  <conditionalFormatting sqref="K53:K62">
    <cfRule type="cellIs" dxfId="2367" priority="16" operator="greaterThan">
      <formula>0</formula>
    </cfRule>
  </conditionalFormatting>
  <conditionalFormatting sqref="L23:L37">
    <cfRule type="cellIs" dxfId="2366" priority="10" operator="greaterThan">
      <formula>0</formula>
    </cfRule>
  </conditionalFormatting>
  <conditionalFormatting sqref="L39:L50">
    <cfRule type="cellIs" dxfId="2365" priority="22" operator="greaterThan">
      <formula>0</formula>
    </cfRule>
  </conditionalFormatting>
  <conditionalFormatting sqref="T41">
    <cfRule type="cellIs" dxfId="2364"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200-000000000000}">
      <formula1>#REF!</formula1>
    </dataValidation>
    <dataValidation type="list" allowBlank="1" showInputMessage="1" showErrorMessage="1" sqref="C13" xr:uid="{00000000-0002-0000-5200-000001000000}">
      <formula1>"SELECT MODEL,INTERNAL,EXTERNAL"</formula1>
    </dataValidation>
    <dataValidation type="list" allowBlank="1" showInputMessage="1" showErrorMessage="1" sqref="C26" xr:uid="{00000000-0002-0000-52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IF('[9]CANOPY (16)'!C3="","",'[9]CANOPY (16)'!C3)</f>
        <v>#REF!</v>
      </c>
      <c r="E3" s="934"/>
      <c r="G3" s="71" t="s">
        <v>4</v>
      </c>
      <c r="H3" s="935" t="e">
        <f>IF('[9]CANOPY (16)'!G3="","",'[9]CANOPY (16)'!G3)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IF('[9]CANOPY (16)'!C5="","",'[9]CANOPY (16)'!C5)</f>
        <v>#REF!</v>
      </c>
      <c r="E5" s="934"/>
      <c r="G5" s="71" t="s">
        <v>8</v>
      </c>
      <c r="H5" s="935" t="e">
        <f>IF('[9]CANOPY (16)'!G5="","",'[9]CANOPY (16)'!G5)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IF('[9]CANOPY (16)'!C7="","",'[9]CANOPY (16)'!C7)</f>
        <v>#REF!</v>
      </c>
      <c r="E7" s="934"/>
      <c r="G7" s="71" t="s">
        <v>12</v>
      </c>
      <c r="H7" s="939" t="e">
        <f>IF('[9]CANOPY (16)'!G7="","",'[9]CANOPY (16)'!G7)</f>
        <v>#REF!</v>
      </c>
      <c r="I7" s="936"/>
      <c r="J7" s="937"/>
      <c r="N7" s="266" t="s">
        <v>14</v>
      </c>
      <c r="O7" s="787" t="e">
        <f>IF('[9]CANOPY (16)'!O7="","",'[9]CANOPY (16)'!O7)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2363" priority="26">
      <formula>C9="CURRENCY"</formula>
    </cfRule>
    <cfRule type="containsText" dxfId="2362" priority="25" operator="containsText" text="SELECT">
      <formula>NOT(ISERROR(SEARCH("SELECT",C9)))</formula>
    </cfRule>
  </conditionalFormatting>
  <conditionalFormatting sqref="C14:C23">
    <cfRule type="expression" dxfId="2361" priority="1">
      <formula>$J14&gt;0</formula>
    </cfRule>
  </conditionalFormatting>
  <conditionalFormatting sqref="C27:C37">
    <cfRule type="expression" dxfId="2360" priority="10">
      <formula>$D27&gt;0</formula>
    </cfRule>
  </conditionalFormatting>
  <conditionalFormatting sqref="D27:D28 D30:D37">
    <cfRule type="cellIs" dxfId="2359" priority="27" operator="lessThan">
      <formula>1</formula>
    </cfRule>
  </conditionalFormatting>
  <conditionalFormatting sqref="D29">
    <cfRule type="cellIs" dxfId="2358" priority="22" operator="lessThan">
      <formula>1</formula>
    </cfRule>
  </conditionalFormatting>
  <conditionalFormatting sqref="D9:E9">
    <cfRule type="cellIs" dxfId="2357" priority="23" operator="lessThan">
      <formula>0</formula>
    </cfRule>
    <cfRule type="cellIs" dxfId="2356" priority="24" operator="greaterThan">
      <formula>0</formula>
    </cfRule>
  </conditionalFormatting>
  <conditionalFormatting sqref="F12">
    <cfRule type="cellIs" dxfId="2355" priority="37" operator="greaterThan">
      <formula>2000</formula>
    </cfRule>
    <cfRule type="expression" dxfId="2354" priority="36">
      <formula>ISNUMBER(SEARCH("I-MUAP",#REF!))</formula>
    </cfRule>
    <cfRule type="expression" dxfId="2353" priority="35">
      <formula>AND((ISNUMBER(SEARCH("I-MUAP",#REF!))),F12&lt;2500)</formula>
    </cfRule>
  </conditionalFormatting>
  <conditionalFormatting sqref="F12:G12">
    <cfRule type="cellIs" dxfId="2352" priority="28" operator="lessThan">
      <formula>1000</formula>
    </cfRule>
  </conditionalFormatting>
  <conditionalFormatting sqref="F14:G19">
    <cfRule type="cellIs" dxfId="2351" priority="3" operator="lessThan">
      <formula>1000</formula>
    </cfRule>
  </conditionalFormatting>
  <conditionalFormatting sqref="G12">
    <cfRule type="cellIs" dxfId="2350" priority="29" operator="greaterThan">
      <formula>3001</formula>
    </cfRule>
  </conditionalFormatting>
  <conditionalFormatting sqref="H11">
    <cfRule type="expression" dxfId="2349" priority="38">
      <formula>((#REF!-50)/#REF!)&lt;950</formula>
    </cfRule>
  </conditionalFormatting>
  <conditionalFormatting sqref="H12">
    <cfRule type="expression" dxfId="2348" priority="39">
      <formula>((#REF!-50)/#REF!)&lt;950</formula>
    </cfRule>
  </conditionalFormatting>
  <conditionalFormatting sqref="H14:H19">
    <cfRule type="cellIs" dxfId="2347" priority="4" operator="lessThan">
      <formula>400</formula>
    </cfRule>
  </conditionalFormatting>
  <conditionalFormatting sqref="H24">
    <cfRule type="expression" dxfId="2346" priority="34">
      <formula>((#REF!-50)/#REF!)&lt;950</formula>
    </cfRule>
  </conditionalFormatting>
  <conditionalFormatting sqref="J14:J21">
    <cfRule type="cellIs" dxfId="2345" priority="15" operator="greaterThan">
      <formula>0</formula>
    </cfRule>
  </conditionalFormatting>
  <conditionalFormatting sqref="J27:J37">
    <cfRule type="expression" dxfId="2344" priority="16">
      <formula>D27&gt;0</formula>
    </cfRule>
  </conditionalFormatting>
  <conditionalFormatting sqref="J39:J45">
    <cfRule type="expression" dxfId="2343" priority="44">
      <formula>#REF!="EURO"</formula>
    </cfRule>
  </conditionalFormatting>
  <conditionalFormatting sqref="K14:K23 N14:O23">
    <cfRule type="cellIs" dxfId="2342" priority="2" operator="greaterThan">
      <formula>0</formula>
    </cfRule>
  </conditionalFormatting>
  <conditionalFormatting sqref="K27:K37">
    <cfRule type="cellIs" dxfId="2341" priority="21" operator="greaterThan">
      <formula>0</formula>
    </cfRule>
  </conditionalFormatting>
  <conditionalFormatting sqref="K39:K45">
    <cfRule type="expression" dxfId="2340" priority="40">
      <formula>$C$9="PLN"</formula>
    </cfRule>
    <cfRule type="expression" dxfId="2339" priority="41">
      <formula>$C$9="CZK"</formula>
    </cfRule>
    <cfRule type="expression" dxfId="2338" priority="42">
      <formula>$C$9="USD"</formula>
    </cfRule>
    <cfRule type="expression" dxfId="2337" priority="43">
      <formula>$C$9="EURO"</formula>
    </cfRule>
  </conditionalFormatting>
  <conditionalFormatting sqref="L14:L23">
    <cfRule type="expression" dxfId="2336" priority="14">
      <formula>$D$9&gt;0</formula>
    </cfRule>
    <cfRule type="expression" dxfId="2335" priority="13">
      <formula>$D$9&lt;0</formula>
    </cfRule>
  </conditionalFormatting>
  <conditionalFormatting sqref="L27:L37">
    <cfRule type="expression" dxfId="2334" priority="12">
      <formula>$D$9&gt;0</formula>
    </cfRule>
    <cfRule type="expression" dxfId="2333" priority="11">
      <formula>$D$9&lt;0</formula>
    </cfRule>
  </conditionalFormatting>
  <conditionalFormatting sqref="N9 N12">
    <cfRule type="expression" dxfId="2332" priority="30">
      <formula>$C$9="PLN"</formula>
    </cfRule>
    <cfRule type="expression" dxfId="2331" priority="31">
      <formula>$C$9="CZK"</formula>
    </cfRule>
    <cfRule type="expression" dxfId="2330" priority="32">
      <formula>$C$9="USD"</formula>
    </cfRule>
    <cfRule type="expression" dxfId="2329" priority="33">
      <formula>$C$9="EURO"</formula>
    </cfRule>
  </conditionalFormatting>
  <conditionalFormatting sqref="N14:N23">
    <cfRule type="expression" dxfId="2328" priority="20">
      <formula>$C$9="EURO"</formula>
    </cfRule>
    <cfRule type="expression" dxfId="2327" priority="19">
      <formula>$C$9="USD"</formula>
    </cfRule>
    <cfRule type="expression" dxfId="2326" priority="18">
      <formula>$C$9="CZK"</formula>
    </cfRule>
    <cfRule type="expression" dxfId="2325" priority="17">
      <formula>$C$9="PLN"</formula>
    </cfRule>
  </conditionalFormatting>
  <conditionalFormatting sqref="N26:N37">
    <cfRule type="expression" dxfId="2324" priority="6">
      <formula>$C$9="PLN"</formula>
    </cfRule>
    <cfRule type="expression" dxfId="2323" priority="7">
      <formula>$C$9="CZK"</formula>
    </cfRule>
    <cfRule type="expression" dxfId="2322" priority="9">
      <formula>$C$9="EURO"</formula>
    </cfRule>
    <cfRule type="expression" dxfId="2321" priority="8">
      <formula>$C$9="USD"</formula>
    </cfRule>
  </conditionalFormatting>
  <conditionalFormatting sqref="N27:O37">
    <cfRule type="cellIs" dxfId="2320" priority="5" operator="greaterThan">
      <formula>0</formula>
    </cfRule>
  </conditionalFormatting>
  <dataValidations count="3">
    <dataValidation type="list" allowBlank="1" showInputMessage="1" showErrorMessage="1" sqref="H25" xr:uid="{00000000-0002-0000-5300-000000000000}">
      <formula1>#REF!</formula1>
    </dataValidation>
    <dataValidation type="list" allowBlank="1" showInputMessage="1" showErrorMessage="1" sqref="E14:E23" xr:uid="{00000000-0002-0000-5300-000001000000}">
      <formula1>"0,1,2,3,4,5,6,7,8,9,10,11,12,13,14,15,16,17,18,19,20"</formula1>
    </dataValidation>
    <dataValidation operator="greaterThan" allowBlank="1" showInputMessage="1" showErrorMessage="1" sqref="F14:F19" xr:uid="{00000000-0002-0000-53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IF('[9]CANOPY (16)'!C3="","",'[9]CANOPY (16)'!C3)</f>
        <v>#REF!</v>
      </c>
      <c r="E3" s="934"/>
      <c r="G3" s="71" t="s">
        <v>4</v>
      </c>
      <c r="H3" s="935" t="e">
        <f>IF('[9]CANOPY (16)'!G3="","",'[9]CANOPY (16)'!G3)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IF('[9]CANOPY (16)'!C5="","",'[9]CANOPY (16)'!C5)</f>
        <v>#REF!</v>
      </c>
      <c r="E5" s="934"/>
      <c r="G5" s="71" t="s">
        <v>8</v>
      </c>
      <c r="H5" s="935" t="e">
        <f>IF('[9]CANOPY (16)'!G5="","",'[9]CANOPY (16)'!G5)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IF('[9]CANOPY (16)'!C7="","",'[9]CANOPY (16)'!C7)</f>
        <v>#REF!</v>
      </c>
      <c r="E7" s="934"/>
      <c r="G7" s="71" t="s">
        <v>12</v>
      </c>
      <c r="H7" s="939" t="e">
        <f>IF('[9]CANOPY (16)'!G7="","",'[9]CANOPY (16)'!G7)</f>
        <v>#REF!</v>
      </c>
      <c r="I7" s="936"/>
      <c r="J7" s="937"/>
      <c r="N7" s="266" t="s">
        <v>14</v>
      </c>
      <c r="O7" s="787" t="e">
        <f>IF('[9]CANOPY (16)'!O7="","",'[9]CANOPY (16)'!O7)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319" priority="34">
      <formula>C9="CURRENCY"</formula>
    </cfRule>
    <cfRule type="containsText" dxfId="2318" priority="33" operator="containsText" text="SELECT">
      <formula>NOT(ISERROR(SEARCH("SELECT",C9)))</formula>
    </cfRule>
  </conditionalFormatting>
  <conditionalFormatting sqref="C14:C32">
    <cfRule type="expression" dxfId="2317" priority="10">
      <formula>$J14&gt;0</formula>
    </cfRule>
  </conditionalFormatting>
  <conditionalFormatting sqref="C36:C46">
    <cfRule type="expression" dxfId="2316" priority="9">
      <formula>$D36&gt;0</formula>
    </cfRule>
  </conditionalFormatting>
  <conditionalFormatting sqref="D36:D37 D39:D46">
    <cfRule type="cellIs" dxfId="2315" priority="35" operator="lessThan">
      <formula>1</formula>
    </cfRule>
  </conditionalFormatting>
  <conditionalFormatting sqref="D38">
    <cfRule type="cellIs" dxfId="2314" priority="30" operator="lessThan">
      <formula>1</formula>
    </cfRule>
  </conditionalFormatting>
  <conditionalFormatting sqref="D9:E9">
    <cfRule type="cellIs" dxfId="2313" priority="32" operator="greaterThan">
      <formula>0</formula>
    </cfRule>
    <cfRule type="cellIs" dxfId="2312" priority="31" operator="lessThan">
      <formula>0</formula>
    </cfRule>
  </conditionalFormatting>
  <conditionalFormatting sqref="F12">
    <cfRule type="cellIs" dxfId="2311" priority="42" operator="greaterThan">
      <formula>2000</formula>
    </cfRule>
    <cfRule type="expression" dxfId="2310" priority="41">
      <formula>ISNUMBER(SEARCH("I-MUAP",$E$14))</formula>
    </cfRule>
    <cfRule type="expression" dxfId="2309" priority="40">
      <formula>AND((ISNUMBER(SEARCH("I-MUAP",$E$14))),F12&lt;2500)</formula>
    </cfRule>
  </conditionalFormatting>
  <conditionalFormatting sqref="F12:G12">
    <cfRule type="cellIs" dxfId="2308" priority="36" operator="lessThan">
      <formula>1000</formula>
    </cfRule>
  </conditionalFormatting>
  <conditionalFormatting sqref="F14:G26">
    <cfRule type="cellIs" dxfId="2307" priority="2" operator="lessThan">
      <formula>1000</formula>
    </cfRule>
  </conditionalFormatting>
  <conditionalFormatting sqref="G12">
    <cfRule type="cellIs" dxfId="2306" priority="37" operator="greaterThan">
      <formula>3001</formula>
    </cfRule>
  </conditionalFormatting>
  <conditionalFormatting sqref="H11">
    <cfRule type="expression" dxfId="2305" priority="39">
      <formula>((G14-50)/I14)&lt;950</formula>
    </cfRule>
  </conditionalFormatting>
  <conditionalFormatting sqref="H12">
    <cfRule type="expression" dxfId="2304" priority="38">
      <formula>((G14-50)/I14)&lt;950</formula>
    </cfRule>
  </conditionalFormatting>
  <conditionalFormatting sqref="H14:H26">
    <cfRule type="cellIs" dxfId="2303" priority="3" operator="lessThan">
      <formula>400</formula>
    </cfRule>
  </conditionalFormatting>
  <conditionalFormatting sqref="H33">
    <cfRule type="expression" dxfId="2302" priority="47">
      <formula>((#REF!-50)/#REF!)&lt;950</formula>
    </cfRule>
  </conditionalFormatting>
  <conditionalFormatting sqref="J14:J30">
    <cfRule type="cellIs" dxfId="2301" priority="15" operator="greaterThan">
      <formula>0</formula>
    </cfRule>
  </conditionalFormatting>
  <conditionalFormatting sqref="J36:J46">
    <cfRule type="expression" dxfId="2300" priority="23">
      <formula>D36&gt;0</formula>
    </cfRule>
  </conditionalFormatting>
  <conditionalFormatting sqref="J48:J54">
    <cfRule type="expression" dxfId="2299" priority="28">
      <formula>#REF!="EURO"</formula>
    </cfRule>
  </conditionalFormatting>
  <conditionalFormatting sqref="K14:K32">
    <cfRule type="cellIs" dxfId="2298" priority="1" operator="greaterThan">
      <formula>0</formula>
    </cfRule>
  </conditionalFormatting>
  <conditionalFormatting sqref="K36:K46">
    <cfRule type="cellIs" dxfId="2297" priority="29" operator="greaterThan">
      <formula>0</formula>
    </cfRule>
  </conditionalFormatting>
  <conditionalFormatting sqref="K48:K54">
    <cfRule type="expression" dxfId="2296" priority="24">
      <formula>$C$9="PLN"</formula>
    </cfRule>
    <cfRule type="expression" dxfId="2295" priority="25">
      <formula>$C$9="CZK"</formula>
    </cfRule>
    <cfRule type="expression" dxfId="2294" priority="26">
      <formula>$C$9="USD"</formula>
    </cfRule>
    <cfRule type="expression" dxfId="2293" priority="27">
      <formula>$C$9="EURO"</formula>
    </cfRule>
  </conditionalFormatting>
  <conditionalFormatting sqref="L14:L32">
    <cfRule type="expression" dxfId="2292" priority="13">
      <formula>$D$9&lt;0</formula>
    </cfRule>
    <cfRule type="expression" dxfId="2291" priority="14">
      <formula>$D$9&gt;0</formula>
    </cfRule>
  </conditionalFormatting>
  <conditionalFormatting sqref="L36:L46">
    <cfRule type="expression" dxfId="2290" priority="12">
      <formula>$D$9&gt;0</formula>
    </cfRule>
    <cfRule type="expression" dxfId="2289" priority="11">
      <formula>$D$9&lt;0</formula>
    </cfRule>
  </conditionalFormatting>
  <conditionalFormatting sqref="N9 N12">
    <cfRule type="expression" dxfId="2288" priority="43">
      <formula>$C$9="PLN"</formula>
    </cfRule>
    <cfRule type="expression" dxfId="2287" priority="44">
      <formula>$C$9="CZK"</formula>
    </cfRule>
    <cfRule type="expression" dxfId="2286" priority="45">
      <formula>$C$9="USD"</formula>
    </cfRule>
    <cfRule type="expression" dxfId="2285" priority="46">
      <formula>$C$9="EURO"</formula>
    </cfRule>
  </conditionalFormatting>
  <conditionalFormatting sqref="N14:N32">
    <cfRule type="expression" dxfId="2284" priority="20">
      <formula>$C$9="EURO"</formula>
    </cfRule>
    <cfRule type="expression" dxfId="2283" priority="19">
      <formula>$C$9="USD"</formula>
    </cfRule>
    <cfRule type="expression" dxfId="2282" priority="18">
      <formula>$C$9="CZK"</formula>
    </cfRule>
    <cfRule type="expression" dxfId="2281" priority="17">
      <formula>$C$9="PLN"</formula>
    </cfRule>
  </conditionalFormatting>
  <conditionalFormatting sqref="N18:N20">
    <cfRule type="cellIs" dxfId="2280" priority="21" operator="greaterThan">
      <formula>0</formula>
    </cfRule>
  </conditionalFormatting>
  <conditionalFormatting sqref="N35:N46">
    <cfRule type="expression" dxfId="2279" priority="8">
      <formula>$C$9="EURO"</formula>
    </cfRule>
    <cfRule type="expression" dxfId="2278" priority="7">
      <formula>$C$9="USD"</formula>
    </cfRule>
    <cfRule type="expression" dxfId="2277" priority="6">
      <formula>$C$9="CZK"</formula>
    </cfRule>
    <cfRule type="expression" dxfId="2276" priority="5">
      <formula>$C$9="PLN"</formula>
    </cfRule>
  </conditionalFormatting>
  <conditionalFormatting sqref="N14:O32">
    <cfRule type="cellIs" dxfId="2275" priority="16" operator="greaterThan">
      <formula>0</formula>
    </cfRule>
  </conditionalFormatting>
  <conditionalFormatting sqref="N36:O46">
    <cfRule type="cellIs" dxfId="2274" priority="4" operator="greaterThan">
      <formula>0</formula>
    </cfRule>
  </conditionalFormatting>
  <conditionalFormatting sqref="O14:O20">
    <cfRule type="cellIs" dxfId="2273" priority="22" operator="greaterThan">
      <formula>0</formula>
    </cfRule>
  </conditionalFormatting>
  <dataValidations count="3">
    <dataValidation type="list" allowBlank="1" showInputMessage="1" showErrorMessage="1" sqref="E14:E32" xr:uid="{00000000-0002-0000-5400-000000000000}">
      <formula1>"0,1,2,3,4,5,6,7,8,9,10,11,12,13,14,15,16,17,18,19,20"</formula1>
    </dataValidation>
    <dataValidation operator="greaterThan" allowBlank="1" showInputMessage="1" showErrorMessage="1" sqref="F14:F26" xr:uid="{00000000-0002-0000-5400-000001000000}"/>
    <dataValidation type="list" allowBlank="1" showInputMessage="1" showErrorMessage="1" sqref="H34" xr:uid="{00000000-0002-0000-54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IF('[10]CANOPY (5)'!G3="","",'[10]CANOPY (5)'!G3)</f>
        <v>#REF!</v>
      </c>
      <c r="I2" s="975"/>
      <c r="J2" s="975"/>
      <c r="K2" s="975"/>
      <c r="L2" s="976"/>
      <c r="M2" s="483" t="s">
        <v>368</v>
      </c>
      <c r="N2" s="974" t="e">
        <f>IF('[10]CANOPY (5)'!C3="","",'[10]CANOPY (5)'!C3)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IF('[10]CANOPY (5)'!G3="","",'[10]CANOPY (5)'!G3)</f>
        <v>#REF!</v>
      </c>
      <c r="I2" s="975"/>
      <c r="J2" s="975"/>
      <c r="K2" s="975"/>
      <c r="L2" s="976"/>
      <c r="M2" s="483" t="s">
        <v>368</v>
      </c>
      <c r="N2" s="974" t="e">
        <f>IF('[10]CANOPY (5)'!C3="","",'[10]CANOPY (5)'!C3)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IF('[10]CANOPY (5)'!G3="","",'[10]CANOPY (5)'!G3)</f>
        <v>#REF!</v>
      </c>
      <c r="I2" s="975"/>
      <c r="J2" s="975"/>
      <c r="K2" s="975"/>
      <c r="L2" s="976"/>
      <c r="M2" s="483" t="s">
        <v>368</v>
      </c>
      <c r="N2" s="974" t="e">
        <f>IF('[10]CANOPY (5)'!C3="","",'[10]CANOPY (5)'!C3)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IF('[10]CANOPY (5)'!G3="","",'[10]CANOPY (5)'!G3)</f>
        <v>#REF!</v>
      </c>
      <c r="I2" s="975"/>
      <c r="J2" s="975"/>
      <c r="K2" s="975"/>
      <c r="L2" s="976"/>
      <c r="M2" s="483" t="s">
        <v>368</v>
      </c>
      <c r="N2" s="974" t="e">
        <f>IF('[10]CANOPY (5)'!C3="","",'[10]CANOPY (5)'!C3)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IF('[10]CANOPY (5)'!C3="","",'[10]CANOPY (5)'!C3)</f>
        <v>#REF!</v>
      </c>
      <c r="D3" s="979"/>
      <c r="E3" s="103" t="s">
        <v>4</v>
      </c>
      <c r="F3" s="935" t="e">
        <f>IF('[10]CANOPY (5)'!G3="","",'[10]CANOPY (5)'!G3)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IF('[10]CANOPY (5)'!C5="","",'[10]CANOPY (5)'!C5)</f>
        <v>#REF!</v>
      </c>
      <c r="D5" s="979"/>
      <c r="E5" s="103" t="s">
        <v>8</v>
      </c>
      <c r="F5" s="935" t="e">
        <f>IF('[10]CANOPY (5)'!G5="","",'[10]CANOPY (5)'!G5)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IF('[10]CANOPY (5)'!C7="","",'[10]CANOPY (5)'!C7)</f>
        <v>#REF!</v>
      </c>
      <c r="D7" s="979"/>
      <c r="E7" s="103" t="s">
        <v>12</v>
      </c>
      <c r="F7" s="939" t="e">
        <f>IF('[10]CANOPY (5)'!G7="","",'[10]CANOPY (5)'!G7)</f>
        <v>#REF!</v>
      </c>
      <c r="G7" s="979"/>
      <c r="H7" s="245"/>
      <c r="J7" s="240" t="s">
        <v>14</v>
      </c>
      <c r="K7" s="787" t="e">
        <f>IF('[10]CANOPY (5)'!O7="","",'[10]CANOPY (5)'!O7)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2272" priority="24">
      <formula>B9="CURRENCY"</formula>
    </cfRule>
    <cfRule type="containsText" dxfId="2271" priority="23" operator="containsText" text="SELECT">
      <formula>NOT(ISERROR(SEARCH("SELECT",B9)))</formula>
    </cfRule>
  </conditionalFormatting>
  <conditionalFormatting sqref="B13:B24">
    <cfRule type="expression" dxfId="2270" priority="6">
      <formula>$C13&gt;0</formula>
    </cfRule>
  </conditionalFormatting>
  <conditionalFormatting sqref="B25:B39">
    <cfRule type="expression" dxfId="2269" priority="5">
      <formula>$C25&gt;0</formula>
    </cfRule>
  </conditionalFormatting>
  <conditionalFormatting sqref="B40:B42">
    <cfRule type="expression" dxfId="2268" priority="4">
      <formula>$C40&gt;0</formula>
    </cfRule>
  </conditionalFormatting>
  <conditionalFormatting sqref="B43:B50">
    <cfRule type="expression" dxfId="2267" priority="1">
      <formula>$C43&gt;0</formula>
    </cfRule>
  </conditionalFormatting>
  <conditionalFormatting sqref="B51:B54">
    <cfRule type="expression" dxfId="2266" priority="3">
      <formula>$C51&gt;0</formula>
    </cfRule>
  </conditionalFormatting>
  <conditionalFormatting sqref="B57:B66">
    <cfRule type="expression" dxfId="2265" priority="2">
      <formula>$C57&gt;0</formula>
    </cfRule>
  </conditionalFormatting>
  <conditionalFormatting sqref="C13:C54">
    <cfRule type="cellIs" dxfId="2264" priority="10" operator="lessThan">
      <formula>1</formula>
    </cfRule>
  </conditionalFormatting>
  <conditionalFormatting sqref="C57:C66">
    <cfRule type="cellIs" dxfId="2263" priority="26" operator="equal">
      <formula>0</formula>
    </cfRule>
  </conditionalFormatting>
  <conditionalFormatting sqref="C9:D9">
    <cfRule type="cellIs" dxfId="2262" priority="20" operator="lessThan">
      <formula>0</formula>
    </cfRule>
    <cfRule type="cellIs" dxfId="2261" priority="21" operator="greaterThan">
      <formula>0</formula>
    </cfRule>
  </conditionalFormatting>
  <conditionalFormatting sqref="F13:F54">
    <cfRule type="expression" dxfId="2260" priority="9">
      <formula>C13&gt;0</formula>
    </cfRule>
  </conditionalFormatting>
  <conditionalFormatting sqref="F57:F66">
    <cfRule type="expression" dxfId="2259" priority="19">
      <formula>C57&gt;0</formula>
    </cfRule>
  </conditionalFormatting>
  <conditionalFormatting sqref="F58:F66">
    <cfRule type="expression" dxfId="2258" priority="25">
      <formula>C58&lt;1</formula>
    </cfRule>
  </conditionalFormatting>
  <conditionalFormatting sqref="G13:G54">
    <cfRule type="cellIs" dxfId="2257" priority="8" operator="greaterThan">
      <formula>0</formula>
    </cfRule>
  </conditionalFormatting>
  <conditionalFormatting sqref="G57:G66">
    <cfRule type="cellIs" dxfId="2256" priority="18" operator="greaterThan">
      <formula>0</formula>
    </cfRule>
  </conditionalFormatting>
  <conditionalFormatting sqref="H13:H54">
    <cfRule type="expression" dxfId="2255" priority="15">
      <formula>$C$9&gt;0</formula>
    </cfRule>
    <cfRule type="expression" dxfId="2254" priority="16">
      <formula>$C$9&lt;0</formula>
    </cfRule>
  </conditionalFormatting>
  <conditionalFormatting sqref="H57:H66">
    <cfRule type="expression" dxfId="2253" priority="32">
      <formula>$C$9&lt;0</formula>
    </cfRule>
    <cfRule type="expression" dxfId="2252" priority="31">
      <formula>$C$9&gt;0</formula>
    </cfRule>
  </conditionalFormatting>
  <conditionalFormatting sqref="J2:J6 J75:J1048576">
    <cfRule type="expression" dxfId="2251" priority="27">
      <formula>$B$9="EURO"</formula>
    </cfRule>
  </conditionalFormatting>
  <conditionalFormatting sqref="J8:J67">
    <cfRule type="expression" dxfId="2250" priority="11">
      <formula>$B$9="EURO"</formula>
    </cfRule>
  </conditionalFormatting>
  <conditionalFormatting sqref="J9 J56:J66">
    <cfRule type="expression" dxfId="2249" priority="28">
      <formula>$B$9="USD"</formula>
    </cfRule>
    <cfRule type="expression" dxfId="2248" priority="29">
      <formula>$B$9="PLN"</formula>
    </cfRule>
    <cfRule type="expression" dxfId="2247" priority="30">
      <formula>$B$9="CZK"</formula>
    </cfRule>
  </conditionalFormatting>
  <conditionalFormatting sqref="J12:J54">
    <cfRule type="expression" dxfId="2246" priority="14">
      <formula>$B$9="CZK"</formula>
    </cfRule>
    <cfRule type="expression" dxfId="2245" priority="13">
      <formula>$B$9="PLN"</formula>
    </cfRule>
    <cfRule type="expression" dxfId="2244" priority="12">
      <formula>$B$9="USD"</formula>
    </cfRule>
  </conditionalFormatting>
  <conditionalFormatting sqref="J68:J74">
    <cfRule type="expression" dxfId="2243" priority="22">
      <formula>$F$10="EURO"</formula>
    </cfRule>
  </conditionalFormatting>
  <conditionalFormatting sqref="J13:K54">
    <cfRule type="cellIs" dxfId="2242" priority="7" operator="greaterThan">
      <formula>0</formula>
    </cfRule>
  </conditionalFormatting>
  <conditionalFormatting sqref="J57:K66">
    <cfRule type="cellIs" dxfId="2241" priority="17" operator="greaterThan">
      <formula>0</formula>
    </cfRule>
  </conditionalFormatting>
  <dataValidations count="1">
    <dataValidation type="list" allowBlank="1" showInputMessage="1" showErrorMessage="1" sqref="D55" xr:uid="{00000000-0002-0000-59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IF('[10]CANOPY (5)'!C3="","",'[10]CANOPY (5)'!C3)</f>
        <v>#REF!</v>
      </c>
      <c r="D3" s="979"/>
      <c r="E3" s="103" t="s">
        <v>4</v>
      </c>
      <c r="F3" s="935" t="e">
        <f>IF('[10]CANOPY (5)'!G3="","",'[10]CANOPY (5)'!G3)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IF('[10]CANOPY (5)'!C5="","",'[10]CANOPY (5)'!C5)</f>
        <v>#REF!</v>
      </c>
      <c r="D5" s="979"/>
      <c r="E5" s="103" t="s">
        <v>8</v>
      </c>
      <c r="F5" s="935" t="e">
        <f>IF('[10]CANOPY (5)'!G5="","",'[10]CANOPY (5)'!G5)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IF('[10]CANOPY (5)'!C7="","",'[10]CANOPY (5)'!C7)</f>
        <v>#REF!</v>
      </c>
      <c r="D7" s="979"/>
      <c r="E7" s="103" t="s">
        <v>12</v>
      </c>
      <c r="F7" s="939" t="e">
        <f>IF('[10]CANOPY (5)'!G7="","",'[10]CANOPY (5)'!G7)</f>
        <v>#REF!</v>
      </c>
      <c r="G7" s="979"/>
      <c r="H7" s="245"/>
      <c r="J7" s="240" t="s">
        <v>14</v>
      </c>
      <c r="K7" s="787" t="e">
        <f>IF('[10]CANOPY (5)'!O7="","",'[10]CANOPY (5)'!O7)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2240" priority="27">
      <formula>B9="CURRENCY"</formula>
    </cfRule>
    <cfRule type="containsText" dxfId="2239" priority="26" operator="containsText" text="SELECT">
      <formula>NOT(ISERROR(SEARCH("SELECT",B9)))</formula>
    </cfRule>
  </conditionalFormatting>
  <conditionalFormatting sqref="B13:B24">
    <cfRule type="expression" dxfId="2238" priority="4">
      <formula>$C13&gt;0</formula>
    </cfRule>
  </conditionalFormatting>
  <conditionalFormatting sqref="B25:B39">
    <cfRule type="expression" dxfId="2237" priority="3">
      <formula>$C25&gt;0</formula>
    </cfRule>
  </conditionalFormatting>
  <conditionalFormatting sqref="B40:B54">
    <cfRule type="expression" dxfId="2236" priority="2">
      <formula>$C40&gt;0</formula>
    </cfRule>
  </conditionalFormatting>
  <conditionalFormatting sqref="B57:B66">
    <cfRule type="expression" dxfId="2235" priority="1">
      <formula>$C57&gt;0</formula>
    </cfRule>
  </conditionalFormatting>
  <conditionalFormatting sqref="C13:C54">
    <cfRule type="cellIs" dxfId="2234" priority="13" operator="lessThan">
      <formula>1</formula>
    </cfRule>
  </conditionalFormatting>
  <conditionalFormatting sqref="C57:C66">
    <cfRule type="cellIs" dxfId="2233" priority="29" operator="equal">
      <formula>0</formula>
    </cfRule>
  </conditionalFormatting>
  <conditionalFormatting sqref="C9:D9">
    <cfRule type="cellIs" dxfId="2232" priority="24" operator="greaterThan">
      <formula>0</formula>
    </cfRule>
    <cfRule type="cellIs" dxfId="2231" priority="23" operator="lessThan">
      <formula>0</formula>
    </cfRule>
  </conditionalFormatting>
  <conditionalFormatting sqref="F13:F54">
    <cfRule type="expression" dxfId="2230" priority="12">
      <formula>C13&gt;0</formula>
    </cfRule>
  </conditionalFormatting>
  <conditionalFormatting sqref="F57:F66">
    <cfRule type="expression" dxfId="2229" priority="22">
      <formula>C57&gt;0</formula>
    </cfRule>
  </conditionalFormatting>
  <conditionalFormatting sqref="F58:F66">
    <cfRule type="expression" dxfId="2228" priority="28">
      <formula>C58&lt;1</formula>
    </cfRule>
  </conditionalFormatting>
  <conditionalFormatting sqref="G13:G54">
    <cfRule type="cellIs" dxfId="2227" priority="11" operator="greaterThan">
      <formula>0</formula>
    </cfRule>
  </conditionalFormatting>
  <conditionalFormatting sqref="G57:G66">
    <cfRule type="cellIs" dxfId="2226" priority="21" operator="greaterThan">
      <formula>0</formula>
    </cfRule>
  </conditionalFormatting>
  <conditionalFormatting sqref="H13:H54">
    <cfRule type="expression" dxfId="2225" priority="18">
      <formula>$C$9&gt;0</formula>
    </cfRule>
    <cfRule type="expression" dxfId="2224" priority="19">
      <formula>$C$9&lt;0</formula>
    </cfRule>
  </conditionalFormatting>
  <conditionalFormatting sqref="H57:H66">
    <cfRule type="expression" dxfId="2223" priority="34">
      <formula>$C$9&gt;0</formula>
    </cfRule>
    <cfRule type="expression" dxfId="2222" priority="35">
      <formula>$C$9&lt;0</formula>
    </cfRule>
  </conditionalFormatting>
  <conditionalFormatting sqref="J2:J6 J75:J1048576">
    <cfRule type="expression" dxfId="2221" priority="30">
      <formula>$B$9="EURO"</formula>
    </cfRule>
  </conditionalFormatting>
  <conditionalFormatting sqref="J8:J67">
    <cfRule type="expression" dxfId="2220" priority="14">
      <formula>$B$9="EURO"</formula>
    </cfRule>
  </conditionalFormatting>
  <conditionalFormatting sqref="J9 J56:J66">
    <cfRule type="expression" dxfId="2219" priority="31">
      <formula>$B$9="USD"</formula>
    </cfRule>
    <cfRule type="expression" dxfId="2218" priority="32">
      <formula>$B$9="PLN"</formula>
    </cfRule>
    <cfRule type="expression" dxfId="2217" priority="33">
      <formula>$B$9="CZK"</formula>
    </cfRule>
  </conditionalFormatting>
  <conditionalFormatting sqref="J12:J54">
    <cfRule type="expression" dxfId="2216" priority="17">
      <formula>$B$9="CZK"</formula>
    </cfRule>
    <cfRule type="expression" dxfId="2215" priority="16">
      <formula>$B$9="PLN"</formula>
    </cfRule>
    <cfRule type="expression" dxfId="2214" priority="15">
      <formula>$B$9="USD"</formula>
    </cfRule>
  </conditionalFormatting>
  <conditionalFormatting sqref="J68:J74">
    <cfRule type="expression" dxfId="2213" priority="25">
      <formula>$F$10="EURO"</formula>
    </cfRule>
  </conditionalFormatting>
  <conditionalFormatting sqref="J13:K54">
    <cfRule type="cellIs" dxfId="2212" priority="10" operator="greaterThan">
      <formula>0</formula>
    </cfRule>
  </conditionalFormatting>
  <conditionalFormatting sqref="J57:K66">
    <cfRule type="cellIs" dxfId="2211" priority="20" operator="greaterThan">
      <formula>0</formula>
    </cfRule>
  </conditionalFormatting>
  <conditionalFormatting sqref="M12:P54">
    <cfRule type="expression" dxfId="2210" priority="9">
      <formula>$B$9="CZK"</formula>
    </cfRule>
    <cfRule type="expression" dxfId="2209" priority="8">
      <formula>$B$9="PLN"</formula>
    </cfRule>
    <cfRule type="expression" dxfId="2208" priority="7">
      <formula>$B$9="USD"</formula>
    </cfRule>
    <cfRule type="expression" dxfId="2207" priority="6">
      <formula>$B$9="EURO"</formula>
    </cfRule>
  </conditionalFormatting>
  <conditionalFormatting sqref="M13:P54">
    <cfRule type="cellIs" dxfId="2206" priority="5" operator="greaterThan">
      <formula>0</formula>
    </cfRule>
  </conditionalFormatting>
  <dataValidations count="3">
    <dataValidation type="list" allowBlank="1" showInputMessage="1" showErrorMessage="1" sqref="D26" xr:uid="{00000000-0002-0000-5A00-000000000000}">
      <formula1>$H$17:$H$21</formula1>
    </dataValidation>
    <dataValidation type="list" allowBlank="1" showInputMessage="1" showErrorMessage="1" sqref="D55" xr:uid="{00000000-0002-0000-5A00-000001000000}">
      <formula1>$B$3:$B$15</formula1>
    </dataValidation>
    <dataValidation type="list" allowBlank="1" showInputMessage="1" showErrorMessage="1" sqref="D13" xr:uid="{00000000-0002-0000-5A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IF('[10]CANOPY (5)'!C3="","",'[10]CANOPY (5)'!C3)</f>
        <v>#REF!</v>
      </c>
      <c r="D3" s="979"/>
      <c r="E3" s="122" t="s">
        <v>4</v>
      </c>
      <c r="F3" s="987" t="e">
        <f>IF('[10]CANOPY (5)'!G3="","",'[10]CANOPY (5)'!G3)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IF('[10]CANOPY (5)'!C5="","",'[10]CANOPY (5)'!C5)</f>
        <v>#REF!</v>
      </c>
      <c r="D5" s="979"/>
      <c r="E5" s="122" t="s">
        <v>8</v>
      </c>
      <c r="F5" s="987" t="e">
        <f>IF('[10]CANOPY (5)'!G5="","",'[10]CANOPY (5)'!G5)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IF('[10]CANOPY (5)'!C7="","",'[10]CANOPY (5)'!C7)</f>
        <v>#REF!</v>
      </c>
      <c r="D7" s="979"/>
      <c r="E7" s="122" t="s">
        <v>12</v>
      </c>
      <c r="F7" s="989" t="e">
        <f>IF('[10]CANOPY (5)'!G7="","",'[10]CANOPY (5)'!G7)</f>
        <v>#REF!</v>
      </c>
      <c r="G7" s="979"/>
      <c r="H7" s="979"/>
      <c r="J7" s="197" t="s">
        <v>14</v>
      </c>
      <c r="K7" s="484" t="e">
        <f>IF('[10]CANOPY (5)'!O7="","",'[10]CANOPY (5)'!O7)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205" priority="8" operator="containsText" text="SELECT">
      <formula>NOT(ISERROR(SEARCH("SELECT",B10)))</formula>
    </cfRule>
    <cfRule type="expression" dxfId="2204" priority="9">
      <formula>B10="CURRENCY"</formula>
    </cfRule>
  </conditionalFormatting>
  <conditionalFormatting sqref="B14:B41">
    <cfRule type="expression" dxfId="2203" priority="2">
      <formula>$C14&gt;0</formula>
    </cfRule>
  </conditionalFormatting>
  <conditionalFormatting sqref="B44:B55">
    <cfRule type="expression" dxfId="2202" priority="1">
      <formula>$C44&gt;0</formula>
    </cfRule>
  </conditionalFormatting>
  <conditionalFormatting sqref="C14:C41 C44:C55">
    <cfRule type="cellIs" dxfId="2201" priority="12" operator="equal">
      <formula>0</formula>
    </cfRule>
  </conditionalFormatting>
  <conditionalFormatting sqref="C10:D10">
    <cfRule type="cellIs" dxfId="2200" priority="6" operator="lessThan">
      <formula>0</formula>
    </cfRule>
    <cfRule type="cellIs" dxfId="2199" priority="7" operator="greaterThan">
      <formula>0</formula>
    </cfRule>
  </conditionalFormatting>
  <conditionalFormatting sqref="E12:E13">
    <cfRule type="cellIs" dxfId="2198" priority="10" operator="greaterThan">
      <formula>0</formula>
    </cfRule>
    <cfRule type="cellIs" dxfId="2197" priority="11" operator="lessThan">
      <formula>0</formula>
    </cfRule>
  </conditionalFormatting>
  <conditionalFormatting sqref="F14:F41 F44:F55">
    <cfRule type="expression" dxfId="2196" priority="5">
      <formula>C14&gt;0</formula>
    </cfRule>
  </conditionalFormatting>
  <conditionalFormatting sqref="G14:G41 G44:G55">
    <cfRule type="cellIs" dxfId="2195" priority="4" operator="greaterThan">
      <formula>0</formula>
    </cfRule>
  </conditionalFormatting>
  <conditionalFormatting sqref="H14:H41 H44:H55">
    <cfRule type="expression" dxfId="2194" priority="17">
      <formula>$C$10&lt;0</formula>
    </cfRule>
    <cfRule type="expression" dxfId="2193" priority="18">
      <formula>$C$10&gt;0</formula>
    </cfRule>
  </conditionalFormatting>
  <conditionalFormatting sqref="J1:J6 J8:J11 J13:J1048576">
    <cfRule type="expression" dxfId="2192" priority="13">
      <formula>$B$10="EURO"</formula>
    </cfRule>
  </conditionalFormatting>
  <conditionalFormatting sqref="J10 J13:J41 J43:J55">
    <cfRule type="expression" dxfId="2191" priority="14">
      <formula>$B$10="PLN"</formula>
    </cfRule>
    <cfRule type="expression" dxfId="2190" priority="15">
      <formula>$B$10="CZK"</formula>
    </cfRule>
    <cfRule type="expression" dxfId="2189" priority="16">
      <formula>$B$10="USD"</formula>
    </cfRule>
  </conditionalFormatting>
  <conditionalFormatting sqref="J14:K41 J44:K56">
    <cfRule type="cellIs" dxfId="2188" priority="3" operator="greaterThan">
      <formula>0</formula>
    </cfRule>
  </conditionalFormatting>
  <dataValidations count="1">
    <dataValidation type="list" allowBlank="1" showInputMessage="1" showErrorMessage="1" sqref="F12:F13" xr:uid="{00000000-0002-0000-5B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IF('[10]CANOPY (5)'!C3="","",'[10]CANOPY (5)'!C3)</f>
        <v>#REF!</v>
      </c>
      <c r="D3" s="990"/>
      <c r="E3" s="129"/>
      <c r="F3" s="132" t="s">
        <v>4</v>
      </c>
      <c r="G3" s="938" t="e">
        <f>IF('[10]CANOPY (5)'!G3="","",'[10]CANOPY (5)'!G3)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IF('[10]CANOPY (5)'!C5="","",'[10]CANOPY (5)'!C5)</f>
        <v>#REF!</v>
      </c>
      <c r="D5" s="990"/>
      <c r="E5" s="131"/>
      <c r="F5" s="132" t="s">
        <v>8</v>
      </c>
      <c r="G5" s="938" t="e">
        <f>IF('[10]CANOPY (5)'!G5="","",'[10]CANOPY (5)'!G5)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IF('[10]CANOPY (5)'!C7="","",'[10]CANOPY (5)'!C7)</f>
        <v>#REF!</v>
      </c>
      <c r="D7" s="990"/>
      <c r="E7" s="135"/>
      <c r="F7" s="136" t="s">
        <v>12</v>
      </c>
      <c r="G7" s="939" t="e">
        <f>IF('[10]CANOPY (5)'!G7="","",'[10]CANOPY (5)'!G7)</f>
        <v>#REF!</v>
      </c>
      <c r="H7" s="990"/>
      <c r="I7" s="51"/>
      <c r="J7" s="280"/>
      <c r="K7" s="280" t="s">
        <v>14</v>
      </c>
      <c r="L7" s="484" t="e">
        <f>IF('[10]CANOPY (5)'!O7="","",'[10]CANOPY (5)'!O7)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2187" priority="26">
      <formula>B9="CURRENCY"</formula>
    </cfRule>
    <cfRule type="containsText" dxfId="2186" priority="25" operator="containsText" text="SELECT">
      <formula>NOT(ISERROR(SEARCH("SELECT",B9)))</formula>
    </cfRule>
  </conditionalFormatting>
  <conditionalFormatting sqref="B15:B29">
    <cfRule type="expression" dxfId="2185" priority="9">
      <formula>$D15&gt;0</formula>
    </cfRule>
  </conditionalFormatting>
  <conditionalFormatting sqref="B49 E49:F49">
    <cfRule type="expression" dxfId="2184" priority="49">
      <formula>C40="select controls"</formula>
    </cfRule>
  </conditionalFormatting>
  <conditionalFormatting sqref="C13">
    <cfRule type="containsText" dxfId="2183" priority="29" operator="containsText" text="SELECT">
      <formula>NOT(ISERROR(SEARCH("SELECT",C13)))</formula>
    </cfRule>
  </conditionalFormatting>
  <conditionalFormatting sqref="C15:C22">
    <cfRule type="containsText" dxfId="2182" priority="15" operator="containsText" text="SIZE">
      <formula>NOT(ISERROR(SEARCH("SIZE",C15)))</formula>
    </cfRule>
  </conditionalFormatting>
  <conditionalFormatting sqref="C25">
    <cfRule type="containsText" dxfId="2181" priority="37" operator="containsText" text="SELECT CONTROLS">
      <formula>NOT(ISERROR(SEARCH("SELECT CONTROLS",C25)))</formula>
    </cfRule>
  </conditionalFormatting>
  <conditionalFormatting sqref="C26">
    <cfRule type="expression" dxfId="2180" priority="32">
      <formula>$C$25="SMARTEC"</formula>
    </cfRule>
    <cfRule type="containsText" dxfId="2179" priority="31" operator="containsText" text="st/st">
      <formula>NOT(ISERROR(SEARCH("st/st",C26)))</formula>
    </cfRule>
  </conditionalFormatting>
  <conditionalFormatting sqref="C31:C32">
    <cfRule type="cellIs" dxfId="2178" priority="20" operator="greaterThan">
      <formula>0</formula>
    </cfRule>
  </conditionalFormatting>
  <conditionalFormatting sqref="C52:C61">
    <cfRule type="cellIs" dxfId="2177" priority="28" operator="lessThan">
      <formula>1</formula>
    </cfRule>
  </conditionalFormatting>
  <conditionalFormatting sqref="C9:D9">
    <cfRule type="cellIs" dxfId="2176" priority="23" operator="lessThan">
      <formula>0</formula>
    </cfRule>
    <cfRule type="cellIs" dxfId="2175" priority="24" operator="greaterThan">
      <formula>0</formula>
    </cfRule>
  </conditionalFormatting>
  <conditionalFormatting sqref="C29:D29">
    <cfRule type="expression" dxfId="2174" priority="36">
      <formula>$C$25="REMOTE TOUCH SCREEN"</formula>
    </cfRule>
    <cfRule type="expression" dxfId="2173" priority="35">
      <formula>$C$25="SMARTEC"</formula>
    </cfRule>
  </conditionalFormatting>
  <conditionalFormatting sqref="D26">
    <cfRule type="expression" dxfId="2172" priority="33">
      <formula>C25="SMARTEC"</formula>
    </cfRule>
    <cfRule type="expression" dxfId="2171" priority="30">
      <formula>C26="st/st enclosure"</formula>
    </cfRule>
  </conditionalFormatting>
  <conditionalFormatting sqref="D29">
    <cfRule type="expression" dxfId="2170" priority="34">
      <formula>$C$25="SMARTEC"</formula>
    </cfRule>
  </conditionalFormatting>
  <conditionalFormatting sqref="D38">
    <cfRule type="expression" dxfId="2169" priority="48">
      <formula>#REF!="SMARTEC"</formula>
    </cfRule>
    <cfRule type="expression" dxfId="2168" priority="47">
      <formula>C38="st/st enclosure"</formula>
    </cfRule>
  </conditionalFormatting>
  <conditionalFormatting sqref="E39:E43">
    <cfRule type="expression" dxfId="2167" priority="46">
      <formula>#REF!="select controls"</formula>
    </cfRule>
  </conditionalFormatting>
  <conditionalFormatting sqref="E44:F45 B45:B48 E46:E47 E48:F48">
    <cfRule type="expression" dxfId="2166" priority="27">
      <formula>C38="select controls"</formula>
    </cfRule>
  </conditionalFormatting>
  <conditionalFormatting sqref="F40">
    <cfRule type="expression" dxfId="2165" priority="1">
      <formula>G34="select controls"</formula>
    </cfRule>
  </conditionalFormatting>
  <conditionalFormatting sqref="G15:G36">
    <cfRule type="cellIs" dxfId="2164" priority="2" operator="greaterThan">
      <formula>0</formula>
    </cfRule>
  </conditionalFormatting>
  <conditionalFormatting sqref="G38:G49">
    <cfRule type="cellIs" dxfId="2163" priority="18" operator="greaterThan">
      <formula>0</formula>
    </cfRule>
  </conditionalFormatting>
  <conditionalFormatting sqref="G52:G61">
    <cfRule type="expression" dxfId="2162" priority="8">
      <formula>C52&gt;0</formula>
    </cfRule>
  </conditionalFormatting>
  <conditionalFormatting sqref="H13 J13 L13">
    <cfRule type="expression" dxfId="2161" priority="38">
      <formula>$B$9="EURO"</formula>
    </cfRule>
  </conditionalFormatting>
  <conditionalFormatting sqref="H15:H61">
    <cfRule type="cellIs" dxfId="2160" priority="19" operator="greaterThan">
      <formula>0</formula>
    </cfRule>
  </conditionalFormatting>
  <conditionalFormatting sqref="I15:I36 I38:I49 I52:I61">
    <cfRule type="expression" dxfId="2159" priority="44">
      <formula>$C$9&lt;0</formula>
    </cfRule>
    <cfRule type="expression" dxfId="2158" priority="43">
      <formula>$C$9&gt;0</formula>
    </cfRule>
  </conditionalFormatting>
  <conditionalFormatting sqref="J37">
    <cfRule type="expression" dxfId="2157" priority="42">
      <formula>$B$9="EURO"</formula>
    </cfRule>
    <cfRule type="expression" dxfId="2156" priority="41">
      <formula>$B$9="USD"</formula>
    </cfRule>
    <cfRule type="expression" dxfId="2155" priority="40">
      <formula>$B$9="CZK"</formula>
    </cfRule>
    <cfRule type="expression" dxfId="2154" priority="39">
      <formula>$B$9="PLN"</formula>
    </cfRule>
  </conditionalFormatting>
  <conditionalFormatting sqref="J63:J69">
    <cfRule type="expression" dxfId="2153" priority="45">
      <formula>#REF!="EURO"</formula>
    </cfRule>
  </conditionalFormatting>
  <conditionalFormatting sqref="K1:K36">
    <cfRule type="expression" dxfId="2152" priority="5">
      <formula>$B$9="USD"</formula>
    </cfRule>
    <cfRule type="expression" dxfId="2151" priority="4">
      <formula>$B$9="EURO"</formula>
    </cfRule>
    <cfRule type="expression" dxfId="2150" priority="6">
      <formula>$B$9="PLN"</formula>
    </cfRule>
  </conditionalFormatting>
  <conditionalFormatting sqref="K1:K1048576">
    <cfRule type="expression" dxfId="2149" priority="7">
      <formula>$B$9="CZK"</formula>
    </cfRule>
  </conditionalFormatting>
  <conditionalFormatting sqref="K15:K36">
    <cfRule type="cellIs" dxfId="2148" priority="3" operator="greaterThan">
      <formula>0</formula>
    </cfRule>
  </conditionalFormatting>
  <conditionalFormatting sqref="K38:K49">
    <cfRule type="cellIs" dxfId="2147" priority="14" operator="greaterThan">
      <formula>0</formula>
    </cfRule>
  </conditionalFormatting>
  <conditionalFormatting sqref="K38:K1048576">
    <cfRule type="expression" dxfId="2146" priority="11">
      <formula>$B$9="EURO"</formula>
    </cfRule>
    <cfRule type="expression" dxfId="2145" priority="12">
      <formula>$B$9="USD"</formula>
    </cfRule>
    <cfRule type="expression" dxfId="2144" priority="13">
      <formula>$B$9="PLN"</formula>
    </cfRule>
  </conditionalFormatting>
  <conditionalFormatting sqref="K50">
    <cfRule type="cellIs" dxfId="2143" priority="22" operator="greaterThan">
      <formula>0</formula>
    </cfRule>
  </conditionalFormatting>
  <conditionalFormatting sqref="K52:K61">
    <cfRule type="cellIs" dxfId="2142" priority="10" operator="greaterThan">
      <formula>0</formula>
    </cfRule>
  </conditionalFormatting>
  <conditionalFormatting sqref="L15:L36 L52:L61">
    <cfRule type="cellIs" dxfId="2141" priority="21" operator="greaterThan">
      <formula>0</formula>
    </cfRule>
  </conditionalFormatting>
  <conditionalFormatting sqref="L38:L49">
    <cfRule type="cellIs" dxfId="2140" priority="17" operator="greaterThan">
      <formula>0</formula>
    </cfRule>
  </conditionalFormatting>
  <conditionalFormatting sqref="U40">
    <cfRule type="cellIs" dxfId="2139" priority="16" operator="greaterThan">
      <formula>0</formula>
    </cfRule>
  </conditionalFormatting>
  <dataValidations count="3">
    <dataValidation type="list" allowBlank="1" showInputMessage="1" showErrorMessage="1" sqref="C25" xr:uid="{00000000-0002-0000-5C00-000000000000}">
      <formula1>"SELECT CONTROLS,SMARTEC, REMOTE TOUCH SCREEN"</formula1>
    </dataValidation>
    <dataValidation type="list" allowBlank="1" showInputMessage="1" showErrorMessage="1" sqref="C13" xr:uid="{00000000-0002-0000-5C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5C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IF('[10]CANOPY (5)'!C3="","",'[10]CANOPY (5)'!C3)</f>
        <v>#REF!</v>
      </c>
      <c r="D3" s="990"/>
      <c r="E3" s="129"/>
      <c r="F3" s="132" t="s">
        <v>4</v>
      </c>
      <c r="G3" s="938" t="e">
        <f>IF('[10]CANOPY (5)'!G3="","",'[10]CANOPY (5)'!G3)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IF('[10]CANOPY (5)'!C5="","",'[10]CANOPY (5)'!C5)</f>
        <v>#REF!</v>
      </c>
      <c r="D5" s="990"/>
      <c r="E5" s="131"/>
      <c r="F5" s="132" t="s">
        <v>8</v>
      </c>
      <c r="G5" s="938" t="e">
        <f>IF('[10]CANOPY (5)'!G5="","",'[10]CANOPY (5)'!G5)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IF('[10]CANOPY (5)'!C7="","",'[10]CANOPY (5)'!C7)</f>
        <v>#REF!</v>
      </c>
      <c r="D7" s="990"/>
      <c r="E7" s="135"/>
      <c r="F7" s="136" t="s">
        <v>12</v>
      </c>
      <c r="G7" s="939" t="e">
        <f>IF('[10]CANOPY (5)'!G7="","",'[10]CANOPY (5)'!G7)</f>
        <v>#REF!</v>
      </c>
      <c r="H7" s="990"/>
      <c r="I7" s="51"/>
      <c r="J7" s="280"/>
      <c r="K7" s="280" t="s">
        <v>14</v>
      </c>
      <c r="L7" s="484" t="e">
        <f>IF('[10]CANOPY (5)'!O7="","",'[10]CANOPY (5)'!O7)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2138" priority="30">
      <formula>B9="CURRENCY"</formula>
    </cfRule>
    <cfRule type="containsText" dxfId="2137" priority="29" operator="containsText" text="SELECT">
      <formula>NOT(ISERROR(SEARCH("SELECT",B9)))</formula>
    </cfRule>
  </conditionalFormatting>
  <conditionalFormatting sqref="B15:B30">
    <cfRule type="expression" dxfId="2136" priority="2">
      <formula>$D15&gt;0</formula>
    </cfRule>
  </conditionalFormatting>
  <conditionalFormatting sqref="B50 E50:F50">
    <cfRule type="expression" dxfId="2135" priority="53">
      <formula>C41="select controls"</formula>
    </cfRule>
  </conditionalFormatting>
  <conditionalFormatting sqref="C13">
    <cfRule type="containsText" dxfId="2134" priority="33" operator="containsText" text="SELECT">
      <formula>NOT(ISERROR(SEARCH("SELECT",C13)))</formula>
    </cfRule>
  </conditionalFormatting>
  <conditionalFormatting sqref="C15:C23">
    <cfRule type="containsText" dxfId="2133" priority="8" operator="containsText" text="SIZE">
      <formula>NOT(ISERROR(SEARCH("SIZE",C15)))</formula>
    </cfRule>
  </conditionalFormatting>
  <conditionalFormatting sqref="C26">
    <cfRule type="containsText" dxfId="2132" priority="41" operator="containsText" text="SELECT CONTROLS">
      <formula>NOT(ISERROR(SEARCH("SELECT CONTROLS",C26)))</formula>
    </cfRule>
  </conditionalFormatting>
  <conditionalFormatting sqref="C27">
    <cfRule type="expression" dxfId="2131" priority="36">
      <formula>$C$26="SMARTEC"</formula>
    </cfRule>
    <cfRule type="containsText" dxfId="2130" priority="35" operator="containsText" text="st/st">
      <formula>NOT(ISERROR(SEARCH("st/st",C27)))</formula>
    </cfRule>
  </conditionalFormatting>
  <conditionalFormatting sqref="C32:C33">
    <cfRule type="cellIs" dxfId="2129" priority="24" operator="greaterThan">
      <formula>0</formula>
    </cfRule>
  </conditionalFormatting>
  <conditionalFormatting sqref="C53:C62">
    <cfRule type="cellIs" dxfId="2128" priority="32" operator="lessThan">
      <formula>1</formula>
    </cfRule>
  </conditionalFormatting>
  <conditionalFormatting sqref="C9:D9">
    <cfRule type="cellIs" dxfId="2127" priority="27" operator="lessThan">
      <formula>0</formula>
    </cfRule>
    <cfRule type="cellIs" dxfId="2126" priority="28" operator="greaterThan">
      <formula>0</formula>
    </cfRule>
  </conditionalFormatting>
  <conditionalFormatting sqref="C30:D30">
    <cfRule type="expression" dxfId="2125" priority="40">
      <formula>$C$26="REMOTE TOUCH SCREEN"</formula>
    </cfRule>
    <cfRule type="expression" dxfId="2124" priority="39">
      <formula>$C$26="SMARTEC"</formula>
    </cfRule>
  </conditionalFormatting>
  <conditionalFormatting sqref="D27">
    <cfRule type="expression" dxfId="2123" priority="37">
      <formula>C26="SMARTEC"</formula>
    </cfRule>
    <cfRule type="expression" dxfId="2122" priority="34">
      <formula>C27="st/st enclosure"</formula>
    </cfRule>
  </conditionalFormatting>
  <conditionalFormatting sqref="D30">
    <cfRule type="expression" dxfId="2121" priority="38">
      <formula>$C$26="SMARTEC"</formula>
    </cfRule>
  </conditionalFormatting>
  <conditionalFormatting sqref="D39">
    <cfRule type="expression" dxfId="2120" priority="52">
      <formula>#REF!="SMARTEC"</formula>
    </cfRule>
    <cfRule type="expression" dxfId="2119" priority="51">
      <formula>C39="st/st enclosure"</formula>
    </cfRule>
  </conditionalFormatting>
  <conditionalFormatting sqref="E40:E44">
    <cfRule type="expression" dxfId="2118" priority="50">
      <formula>#REF!="select controls"</formula>
    </cfRule>
  </conditionalFormatting>
  <conditionalFormatting sqref="E45 E46:F46 B46:B47 E47:E48 B49 E49:F49">
    <cfRule type="expression" dxfId="2117" priority="31">
      <formula>C39="select controls"</formula>
    </cfRule>
  </conditionalFormatting>
  <conditionalFormatting sqref="F41:F45">
    <cfRule type="expression" dxfId="2116" priority="1">
      <formula>G35="select controls"</formula>
    </cfRule>
  </conditionalFormatting>
  <conditionalFormatting sqref="G15:G37">
    <cfRule type="cellIs" dxfId="2115" priority="9" operator="greaterThan">
      <formula>0</formula>
    </cfRule>
  </conditionalFormatting>
  <conditionalFormatting sqref="G39:G50">
    <cfRule type="cellIs" dxfId="2114" priority="14" operator="greaterThan">
      <formula>0</formula>
    </cfRule>
  </conditionalFormatting>
  <conditionalFormatting sqref="G53:G62">
    <cfRule type="expression" dxfId="2113" priority="15">
      <formula>C53&gt;0</formula>
    </cfRule>
  </conditionalFormatting>
  <conditionalFormatting sqref="H13 J13 L13">
    <cfRule type="expression" dxfId="2112" priority="42">
      <formula>$B$9="EURO"</formula>
    </cfRule>
  </conditionalFormatting>
  <conditionalFormatting sqref="H23">
    <cfRule type="cellIs" dxfId="2111" priority="11" operator="greaterThan">
      <formula>0</formula>
    </cfRule>
  </conditionalFormatting>
  <conditionalFormatting sqref="H25:H62">
    <cfRule type="cellIs" dxfId="2110" priority="23" operator="greaterThan">
      <formula>0</formula>
    </cfRule>
  </conditionalFormatting>
  <conditionalFormatting sqref="H15:L22 L53:L62">
    <cfRule type="cellIs" dxfId="2109" priority="25" operator="greaterThan">
      <formula>0</formula>
    </cfRule>
  </conditionalFormatting>
  <conditionalFormatting sqref="I15:I37">
    <cfRule type="expression" dxfId="2108" priority="12">
      <formula>$C$9&gt;0</formula>
    </cfRule>
  </conditionalFormatting>
  <conditionalFormatting sqref="I23:I37">
    <cfRule type="expression" dxfId="2107" priority="13">
      <formula>$C$9&lt;0</formula>
    </cfRule>
  </conditionalFormatting>
  <conditionalFormatting sqref="I39:I50 I53:I62 I15:I22">
    <cfRule type="expression" dxfId="2106" priority="48">
      <formula>$C$9&lt;0</formula>
    </cfRule>
  </conditionalFormatting>
  <conditionalFormatting sqref="I39:I50 I53:I62">
    <cfRule type="expression" dxfId="2105" priority="47">
      <formula>$C$9&gt;0</formula>
    </cfRule>
  </conditionalFormatting>
  <conditionalFormatting sqref="J38">
    <cfRule type="expression" dxfId="2104" priority="43">
      <formula>$B$9="PLN"</formula>
    </cfRule>
    <cfRule type="expression" dxfId="2103" priority="44">
      <formula>$B$9="CZK"</formula>
    </cfRule>
    <cfRule type="expression" dxfId="2102" priority="45">
      <formula>$B$9="USD"</formula>
    </cfRule>
    <cfRule type="expression" dxfId="2101" priority="46">
      <formula>$B$9="EURO"</formula>
    </cfRule>
  </conditionalFormatting>
  <conditionalFormatting sqref="J64:J70">
    <cfRule type="expression" dxfId="2100" priority="49">
      <formula>#REF!="EURO"</formula>
    </cfRule>
  </conditionalFormatting>
  <conditionalFormatting sqref="K1:K37">
    <cfRule type="expression" dxfId="2099" priority="5">
      <formula>$B$9="USD"</formula>
    </cfRule>
    <cfRule type="expression" dxfId="2098" priority="4">
      <formula>$B$9="EURO"</formula>
    </cfRule>
    <cfRule type="expression" dxfId="2097" priority="6">
      <formula>$B$9="PLN"</formula>
    </cfRule>
  </conditionalFormatting>
  <conditionalFormatting sqref="K1:K1048576">
    <cfRule type="expression" dxfId="2096" priority="7">
      <formula>$B$9="CZK"</formula>
    </cfRule>
  </conditionalFormatting>
  <conditionalFormatting sqref="K15:K37">
    <cfRule type="cellIs" dxfId="2095" priority="3" operator="greaterThan">
      <formula>0</formula>
    </cfRule>
  </conditionalFormatting>
  <conditionalFormatting sqref="K39:K50">
    <cfRule type="cellIs" dxfId="2094" priority="20" operator="greaterThan">
      <formula>0</formula>
    </cfRule>
  </conditionalFormatting>
  <conditionalFormatting sqref="K39:K1048576">
    <cfRule type="expression" dxfId="2093" priority="19">
      <formula>$B$9="PLN"</formula>
    </cfRule>
    <cfRule type="expression" dxfId="2092" priority="18">
      <formula>$B$9="USD"</formula>
    </cfRule>
    <cfRule type="expression" dxfId="2091" priority="17">
      <formula>$B$9="EURO"</formula>
    </cfRule>
  </conditionalFormatting>
  <conditionalFormatting sqref="K51">
    <cfRule type="cellIs" dxfId="2090" priority="26" operator="greaterThan">
      <formula>0</formula>
    </cfRule>
  </conditionalFormatting>
  <conditionalFormatting sqref="K53:K62">
    <cfRule type="cellIs" dxfId="2089" priority="16" operator="greaterThan">
      <formula>0</formula>
    </cfRule>
  </conditionalFormatting>
  <conditionalFormatting sqref="L23:L37">
    <cfRule type="cellIs" dxfId="2088" priority="10" operator="greaterThan">
      <formula>0</formula>
    </cfRule>
  </conditionalFormatting>
  <conditionalFormatting sqref="L39:L50">
    <cfRule type="cellIs" dxfId="2087" priority="22" operator="greaterThan">
      <formula>0</formula>
    </cfRule>
  </conditionalFormatting>
  <conditionalFormatting sqref="T41">
    <cfRule type="cellIs" dxfId="2086"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5D00-000000000000}">
      <formula1>#REF!</formula1>
    </dataValidation>
    <dataValidation type="list" allowBlank="1" showInputMessage="1" showErrorMessage="1" sqref="C13" xr:uid="{00000000-0002-0000-5D00-000001000000}">
      <formula1>"SELECT MODEL,INTERNAL,EXTERNAL"</formula1>
    </dataValidation>
    <dataValidation type="list" allowBlank="1" showInputMessage="1" showErrorMessage="1" sqref="C26" xr:uid="{00000000-0002-0000-5D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IF('[10]CANOPY (5)'!C3="","",'[10]CANOPY (5)'!C3)</f>
        <v>#REF!</v>
      </c>
      <c r="E3" s="934"/>
      <c r="G3" s="71" t="s">
        <v>4</v>
      </c>
      <c r="H3" s="935" t="e">
        <f>IF('[10]CANOPY (5)'!G3="","",'[10]CANOPY (5)'!G3)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IF('[10]CANOPY (5)'!C5="","",'[10]CANOPY (5)'!C5)</f>
        <v>#REF!</v>
      </c>
      <c r="E5" s="934"/>
      <c r="G5" s="71" t="s">
        <v>8</v>
      </c>
      <c r="H5" s="935" t="e">
        <f>IF('[10]CANOPY (5)'!G5="","",'[10]CANOPY (5)'!G5)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IF('[10]CANOPY (5)'!C7="","",'[10]CANOPY (5)'!C7)</f>
        <v>#REF!</v>
      </c>
      <c r="E7" s="934"/>
      <c r="G7" s="71" t="s">
        <v>12</v>
      </c>
      <c r="H7" s="939" t="e">
        <f>IF('[10]CANOPY (5)'!G7="","",'[10]CANOPY (5)'!G7)</f>
        <v>#REF!</v>
      </c>
      <c r="I7" s="936"/>
      <c r="J7" s="937"/>
      <c r="N7" s="266" t="s">
        <v>14</v>
      </c>
      <c r="O7" s="787" t="e">
        <f>IF('[10]CANOPY (5)'!O7="","",'[10]CANOPY (5)'!O7)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2085" priority="26">
      <formula>C9="CURRENCY"</formula>
    </cfRule>
    <cfRule type="containsText" dxfId="2084" priority="25" operator="containsText" text="SELECT">
      <formula>NOT(ISERROR(SEARCH("SELECT",C9)))</formula>
    </cfRule>
  </conditionalFormatting>
  <conditionalFormatting sqref="C14:C23">
    <cfRule type="expression" dxfId="2083" priority="1">
      <formula>$J14&gt;0</formula>
    </cfRule>
  </conditionalFormatting>
  <conditionalFormatting sqref="C27:C37">
    <cfRule type="expression" dxfId="2082" priority="10">
      <formula>$D27&gt;0</formula>
    </cfRule>
  </conditionalFormatting>
  <conditionalFormatting sqref="D27:D28 D30:D37">
    <cfRule type="cellIs" dxfId="2081" priority="27" operator="lessThan">
      <formula>1</formula>
    </cfRule>
  </conditionalFormatting>
  <conditionalFormatting sqref="D29">
    <cfRule type="cellIs" dxfId="2080" priority="22" operator="lessThan">
      <formula>1</formula>
    </cfRule>
  </conditionalFormatting>
  <conditionalFormatting sqref="D9:E9">
    <cfRule type="cellIs" dxfId="2079" priority="23" operator="lessThan">
      <formula>0</formula>
    </cfRule>
    <cfRule type="cellIs" dxfId="2078" priority="24" operator="greaterThan">
      <formula>0</formula>
    </cfRule>
  </conditionalFormatting>
  <conditionalFormatting sqref="F12">
    <cfRule type="cellIs" dxfId="2077" priority="37" operator="greaterThan">
      <formula>2000</formula>
    </cfRule>
    <cfRule type="expression" dxfId="2076" priority="36">
      <formula>ISNUMBER(SEARCH("I-MUAP",#REF!))</formula>
    </cfRule>
    <cfRule type="expression" dxfId="2075" priority="35">
      <formula>AND((ISNUMBER(SEARCH("I-MUAP",#REF!))),F12&lt;2500)</formula>
    </cfRule>
  </conditionalFormatting>
  <conditionalFormatting sqref="F12:G12">
    <cfRule type="cellIs" dxfId="2074" priority="28" operator="lessThan">
      <formula>1000</formula>
    </cfRule>
  </conditionalFormatting>
  <conditionalFormatting sqref="F14:G19">
    <cfRule type="cellIs" dxfId="2073" priority="3" operator="lessThan">
      <formula>1000</formula>
    </cfRule>
  </conditionalFormatting>
  <conditionalFormatting sqref="G12">
    <cfRule type="cellIs" dxfId="2072" priority="29" operator="greaterThan">
      <formula>3001</formula>
    </cfRule>
  </conditionalFormatting>
  <conditionalFormatting sqref="H11">
    <cfRule type="expression" dxfId="2071" priority="38">
      <formula>((#REF!-50)/#REF!)&lt;950</formula>
    </cfRule>
  </conditionalFormatting>
  <conditionalFormatting sqref="H12">
    <cfRule type="expression" dxfId="2070" priority="39">
      <formula>((#REF!-50)/#REF!)&lt;950</formula>
    </cfRule>
  </conditionalFormatting>
  <conditionalFormatting sqref="H14:H19">
    <cfRule type="cellIs" dxfId="2069" priority="4" operator="lessThan">
      <formula>400</formula>
    </cfRule>
  </conditionalFormatting>
  <conditionalFormatting sqref="H24">
    <cfRule type="expression" dxfId="2068" priority="34">
      <formula>((#REF!-50)/#REF!)&lt;950</formula>
    </cfRule>
  </conditionalFormatting>
  <conditionalFormatting sqref="J14:J21">
    <cfRule type="cellIs" dxfId="2067" priority="15" operator="greaterThan">
      <formula>0</formula>
    </cfRule>
  </conditionalFormatting>
  <conditionalFormatting sqref="J27:J37">
    <cfRule type="expression" dxfId="2066" priority="16">
      <formula>D27&gt;0</formula>
    </cfRule>
  </conditionalFormatting>
  <conditionalFormatting sqref="J39:J45">
    <cfRule type="expression" dxfId="2065" priority="44">
      <formula>#REF!="EURO"</formula>
    </cfRule>
  </conditionalFormatting>
  <conditionalFormatting sqref="K14:K23 N14:O23">
    <cfRule type="cellIs" dxfId="2064" priority="2" operator="greaterThan">
      <formula>0</formula>
    </cfRule>
  </conditionalFormatting>
  <conditionalFormatting sqref="K27:K37">
    <cfRule type="cellIs" dxfId="2063" priority="21" operator="greaterThan">
      <formula>0</formula>
    </cfRule>
  </conditionalFormatting>
  <conditionalFormatting sqref="K39:K45">
    <cfRule type="expression" dxfId="2062" priority="40">
      <formula>$C$9="PLN"</formula>
    </cfRule>
    <cfRule type="expression" dxfId="2061" priority="41">
      <formula>$C$9="CZK"</formula>
    </cfRule>
    <cfRule type="expression" dxfId="2060" priority="42">
      <formula>$C$9="USD"</formula>
    </cfRule>
    <cfRule type="expression" dxfId="2059" priority="43">
      <formula>$C$9="EURO"</formula>
    </cfRule>
  </conditionalFormatting>
  <conditionalFormatting sqref="L14:L23">
    <cfRule type="expression" dxfId="2058" priority="14">
      <formula>$D$9&gt;0</formula>
    </cfRule>
    <cfRule type="expression" dxfId="2057" priority="13">
      <formula>$D$9&lt;0</formula>
    </cfRule>
  </conditionalFormatting>
  <conditionalFormatting sqref="L27:L37">
    <cfRule type="expression" dxfId="2056" priority="12">
      <formula>$D$9&gt;0</formula>
    </cfRule>
    <cfRule type="expression" dxfId="2055" priority="11">
      <formula>$D$9&lt;0</formula>
    </cfRule>
  </conditionalFormatting>
  <conditionalFormatting sqref="N9 N12">
    <cfRule type="expression" dxfId="2054" priority="30">
      <formula>$C$9="PLN"</formula>
    </cfRule>
    <cfRule type="expression" dxfId="2053" priority="31">
      <formula>$C$9="CZK"</formula>
    </cfRule>
    <cfRule type="expression" dxfId="2052" priority="32">
      <formula>$C$9="USD"</formula>
    </cfRule>
    <cfRule type="expression" dxfId="2051" priority="33">
      <formula>$C$9="EURO"</formula>
    </cfRule>
  </conditionalFormatting>
  <conditionalFormatting sqref="N14:N23">
    <cfRule type="expression" dxfId="2050" priority="20">
      <formula>$C$9="EURO"</formula>
    </cfRule>
    <cfRule type="expression" dxfId="2049" priority="19">
      <formula>$C$9="USD"</formula>
    </cfRule>
    <cfRule type="expression" dxfId="2048" priority="18">
      <formula>$C$9="CZK"</formula>
    </cfRule>
    <cfRule type="expression" dxfId="2047" priority="17">
      <formula>$C$9="PLN"</formula>
    </cfRule>
  </conditionalFormatting>
  <conditionalFormatting sqref="N26:N37">
    <cfRule type="expression" dxfId="2046" priority="6">
      <formula>$C$9="PLN"</formula>
    </cfRule>
    <cfRule type="expression" dxfId="2045" priority="7">
      <formula>$C$9="CZK"</formula>
    </cfRule>
    <cfRule type="expression" dxfId="2044" priority="9">
      <formula>$C$9="EURO"</formula>
    </cfRule>
    <cfRule type="expression" dxfId="2043" priority="8">
      <formula>$C$9="USD"</formula>
    </cfRule>
  </conditionalFormatting>
  <conditionalFormatting sqref="N27:O37">
    <cfRule type="cellIs" dxfId="2042" priority="5" operator="greaterThan">
      <formula>0</formula>
    </cfRule>
  </conditionalFormatting>
  <dataValidations count="3">
    <dataValidation type="list" allowBlank="1" showInputMessage="1" showErrorMessage="1" sqref="H25" xr:uid="{00000000-0002-0000-5E00-000000000000}">
      <formula1>#REF!</formula1>
    </dataValidation>
    <dataValidation type="list" allowBlank="1" showInputMessage="1" showErrorMessage="1" sqref="E14:E23" xr:uid="{00000000-0002-0000-5E00-000001000000}">
      <formula1>"0,1,2,3,4,5,6,7,8,9,10,11,12,13,14,15,16,17,18,19,20"</formula1>
    </dataValidation>
    <dataValidation operator="greaterThan" allowBlank="1" showInputMessage="1" showErrorMessage="1" sqref="F14:F19" xr:uid="{00000000-0002-0000-5E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IF('[10]CANOPY (5)'!C3="","",'[10]CANOPY (5)'!C3)</f>
        <v>#REF!</v>
      </c>
      <c r="E3" s="934"/>
      <c r="G3" s="71" t="s">
        <v>4</v>
      </c>
      <c r="H3" s="935" t="e">
        <f>IF('[10]CANOPY (5)'!G3="","",'[10]CANOPY (5)'!G3)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IF('[10]CANOPY (5)'!C5="","",'[10]CANOPY (5)'!C5)</f>
        <v>#REF!</v>
      </c>
      <c r="E5" s="934"/>
      <c r="G5" s="71" t="s">
        <v>8</v>
      </c>
      <c r="H5" s="935" t="e">
        <f>IF('[10]CANOPY (5)'!G5="","",'[10]CANOPY (5)'!G5)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IF('[10]CANOPY (5)'!C7="","",'[10]CANOPY (5)'!C7)</f>
        <v>#REF!</v>
      </c>
      <c r="E7" s="934"/>
      <c r="G7" s="71" t="s">
        <v>12</v>
      </c>
      <c r="H7" s="939" t="e">
        <f>IF('[10]CANOPY (5)'!G7="","",'[10]CANOPY (5)'!G7)</f>
        <v>#REF!</v>
      </c>
      <c r="I7" s="936"/>
      <c r="J7" s="937"/>
      <c r="N7" s="266" t="s">
        <v>14</v>
      </c>
      <c r="O7" s="787" t="e">
        <f>IF('[10]CANOPY (5)'!O7="","",'[10]CANOPY (5)'!O7)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2041" priority="34">
      <formula>C9="CURRENCY"</formula>
    </cfRule>
    <cfRule type="containsText" dxfId="2040" priority="33" operator="containsText" text="SELECT">
      <formula>NOT(ISERROR(SEARCH("SELECT",C9)))</formula>
    </cfRule>
  </conditionalFormatting>
  <conditionalFormatting sqref="C14:C32">
    <cfRule type="expression" dxfId="2039" priority="10">
      <formula>$J14&gt;0</formula>
    </cfRule>
  </conditionalFormatting>
  <conditionalFormatting sqref="C36:C46">
    <cfRule type="expression" dxfId="2038" priority="9">
      <formula>$D36&gt;0</formula>
    </cfRule>
  </conditionalFormatting>
  <conditionalFormatting sqref="D36:D37 D39:D46">
    <cfRule type="cellIs" dxfId="2037" priority="35" operator="lessThan">
      <formula>1</formula>
    </cfRule>
  </conditionalFormatting>
  <conditionalFormatting sqref="D38">
    <cfRule type="cellIs" dxfId="2036" priority="30" operator="lessThan">
      <formula>1</formula>
    </cfRule>
  </conditionalFormatting>
  <conditionalFormatting sqref="D9:E9">
    <cfRule type="cellIs" dxfId="2035" priority="32" operator="greaterThan">
      <formula>0</formula>
    </cfRule>
    <cfRule type="cellIs" dxfId="2034" priority="31" operator="lessThan">
      <formula>0</formula>
    </cfRule>
  </conditionalFormatting>
  <conditionalFormatting sqref="F12">
    <cfRule type="cellIs" dxfId="2033" priority="42" operator="greaterThan">
      <formula>2000</formula>
    </cfRule>
    <cfRule type="expression" dxfId="2032" priority="41">
      <formula>ISNUMBER(SEARCH("I-MUAP",$E$14))</formula>
    </cfRule>
    <cfRule type="expression" dxfId="2031" priority="40">
      <formula>AND((ISNUMBER(SEARCH("I-MUAP",$E$14))),F12&lt;2500)</formula>
    </cfRule>
  </conditionalFormatting>
  <conditionalFormatting sqref="F12:G12">
    <cfRule type="cellIs" dxfId="2030" priority="36" operator="lessThan">
      <formula>1000</formula>
    </cfRule>
  </conditionalFormatting>
  <conditionalFormatting sqref="F14:G26">
    <cfRule type="cellIs" dxfId="2029" priority="2" operator="lessThan">
      <formula>1000</formula>
    </cfRule>
  </conditionalFormatting>
  <conditionalFormatting sqref="G12">
    <cfRule type="cellIs" dxfId="2028" priority="37" operator="greaterThan">
      <formula>3001</formula>
    </cfRule>
  </conditionalFormatting>
  <conditionalFormatting sqref="H11">
    <cfRule type="expression" dxfId="2027" priority="39">
      <formula>((G14-50)/I14)&lt;950</formula>
    </cfRule>
  </conditionalFormatting>
  <conditionalFormatting sqref="H12">
    <cfRule type="expression" dxfId="2026" priority="38">
      <formula>((G14-50)/I14)&lt;950</formula>
    </cfRule>
  </conditionalFormatting>
  <conditionalFormatting sqref="H14:H26">
    <cfRule type="cellIs" dxfId="2025" priority="3" operator="lessThan">
      <formula>400</formula>
    </cfRule>
  </conditionalFormatting>
  <conditionalFormatting sqref="H33">
    <cfRule type="expression" dxfId="2024" priority="47">
      <formula>((#REF!-50)/#REF!)&lt;950</formula>
    </cfRule>
  </conditionalFormatting>
  <conditionalFormatting sqref="J14:J30">
    <cfRule type="cellIs" dxfId="2023" priority="15" operator="greaterThan">
      <formula>0</formula>
    </cfRule>
  </conditionalFormatting>
  <conditionalFormatting sqref="J36:J46">
    <cfRule type="expression" dxfId="2022" priority="23">
      <formula>D36&gt;0</formula>
    </cfRule>
  </conditionalFormatting>
  <conditionalFormatting sqref="J48:J54">
    <cfRule type="expression" dxfId="2021" priority="28">
      <formula>#REF!="EURO"</formula>
    </cfRule>
  </conditionalFormatting>
  <conditionalFormatting sqref="K14:K32">
    <cfRule type="cellIs" dxfId="2020" priority="1" operator="greaterThan">
      <formula>0</formula>
    </cfRule>
  </conditionalFormatting>
  <conditionalFormatting sqref="K36:K46">
    <cfRule type="cellIs" dxfId="2019" priority="29" operator="greaterThan">
      <formula>0</formula>
    </cfRule>
  </conditionalFormatting>
  <conditionalFormatting sqref="K48:K54">
    <cfRule type="expression" dxfId="2018" priority="24">
      <formula>$C$9="PLN"</formula>
    </cfRule>
    <cfRule type="expression" dxfId="2017" priority="25">
      <formula>$C$9="CZK"</formula>
    </cfRule>
    <cfRule type="expression" dxfId="2016" priority="26">
      <formula>$C$9="USD"</formula>
    </cfRule>
    <cfRule type="expression" dxfId="2015" priority="27">
      <formula>$C$9="EURO"</formula>
    </cfRule>
  </conditionalFormatting>
  <conditionalFormatting sqref="L14:L32">
    <cfRule type="expression" dxfId="2014" priority="13">
      <formula>$D$9&lt;0</formula>
    </cfRule>
    <cfRule type="expression" dxfId="2013" priority="14">
      <formula>$D$9&gt;0</formula>
    </cfRule>
  </conditionalFormatting>
  <conditionalFormatting sqref="L36:L46">
    <cfRule type="expression" dxfId="2012" priority="12">
      <formula>$D$9&gt;0</formula>
    </cfRule>
    <cfRule type="expression" dxfId="2011" priority="11">
      <formula>$D$9&lt;0</formula>
    </cfRule>
  </conditionalFormatting>
  <conditionalFormatting sqref="N9 N12">
    <cfRule type="expression" dxfId="2010" priority="43">
      <formula>$C$9="PLN"</formula>
    </cfRule>
    <cfRule type="expression" dxfId="2009" priority="44">
      <formula>$C$9="CZK"</formula>
    </cfRule>
    <cfRule type="expression" dxfId="2008" priority="45">
      <formula>$C$9="USD"</formula>
    </cfRule>
    <cfRule type="expression" dxfId="2007" priority="46">
      <formula>$C$9="EURO"</formula>
    </cfRule>
  </conditionalFormatting>
  <conditionalFormatting sqref="N14:N32">
    <cfRule type="expression" dxfId="2006" priority="20">
      <formula>$C$9="EURO"</formula>
    </cfRule>
    <cfRule type="expression" dxfId="2005" priority="19">
      <formula>$C$9="USD"</formula>
    </cfRule>
    <cfRule type="expression" dxfId="2004" priority="18">
      <formula>$C$9="CZK"</formula>
    </cfRule>
    <cfRule type="expression" dxfId="2003" priority="17">
      <formula>$C$9="PLN"</formula>
    </cfRule>
  </conditionalFormatting>
  <conditionalFormatting sqref="N18:N20">
    <cfRule type="cellIs" dxfId="2002" priority="21" operator="greaterThan">
      <formula>0</formula>
    </cfRule>
  </conditionalFormatting>
  <conditionalFormatting sqref="N35:N46">
    <cfRule type="expression" dxfId="2001" priority="8">
      <formula>$C$9="EURO"</formula>
    </cfRule>
    <cfRule type="expression" dxfId="2000" priority="7">
      <formula>$C$9="USD"</formula>
    </cfRule>
    <cfRule type="expression" dxfId="1999" priority="6">
      <formula>$C$9="CZK"</formula>
    </cfRule>
    <cfRule type="expression" dxfId="1998" priority="5">
      <formula>$C$9="PLN"</formula>
    </cfRule>
  </conditionalFormatting>
  <conditionalFormatting sqref="N14:O32">
    <cfRule type="cellIs" dxfId="1997" priority="16" operator="greaterThan">
      <formula>0</formula>
    </cfRule>
  </conditionalFormatting>
  <conditionalFormatting sqref="N36:O46">
    <cfRule type="cellIs" dxfId="1996" priority="4" operator="greaterThan">
      <formula>0</formula>
    </cfRule>
  </conditionalFormatting>
  <conditionalFormatting sqref="O14:O20">
    <cfRule type="cellIs" dxfId="1995" priority="22" operator="greaterThan">
      <formula>0</formula>
    </cfRule>
  </conditionalFormatting>
  <dataValidations count="3">
    <dataValidation type="list" allowBlank="1" showInputMessage="1" showErrorMessage="1" sqref="E14:E32" xr:uid="{00000000-0002-0000-5F00-000000000000}">
      <formula1>"0,1,2,3,4,5,6,7,8,9,10,11,12,13,14,15,16,17,18,19,20"</formula1>
    </dataValidation>
    <dataValidation operator="greaterThan" allowBlank="1" showInputMessage="1" showErrorMessage="1" sqref="F14:F26" xr:uid="{00000000-0002-0000-5F00-000001000000}"/>
    <dataValidation type="list" allowBlank="1" showInputMessage="1" showErrorMessage="1" sqref="H34" xr:uid="{00000000-0002-0000-5F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IF('[11]CANOPY (6)'!G3="","",'[11]CANOPY (6)'!G3)</f>
        <v>#REF!</v>
      </c>
      <c r="I2" s="975"/>
      <c r="J2" s="975"/>
      <c r="K2" s="975"/>
      <c r="L2" s="976"/>
      <c r="M2" s="483" t="s">
        <v>368</v>
      </c>
      <c r="N2" s="974" t="e">
        <f>IF('[11]CANOPY (6)'!C3="","",'[11]CANOPY (6)'!C3)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IF('[11]CANOPY (6)'!G3="","",'[11]CANOPY (6)'!G3)</f>
        <v>#REF!</v>
      </c>
      <c r="I2" s="975"/>
      <c r="J2" s="975"/>
      <c r="K2" s="975"/>
      <c r="L2" s="976"/>
      <c r="M2" s="483" t="s">
        <v>368</v>
      </c>
      <c r="N2" s="974" t="e">
        <f>IF('[11]CANOPY (6)'!C3="","",'[11]CANOPY (6)'!C3)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IF('[11]CANOPY (6)'!G3="","",'[11]CANOPY (6)'!G3)</f>
        <v>#REF!</v>
      </c>
      <c r="I2" s="975"/>
      <c r="J2" s="975"/>
      <c r="K2" s="975"/>
      <c r="L2" s="976"/>
      <c r="M2" s="483" t="s">
        <v>368</v>
      </c>
      <c r="N2" s="974" t="e">
        <f>IF('[11]CANOPY (6)'!C3="","",'[11]CANOPY (6)'!C3)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IF('[11]CANOPY (6)'!C3="","",'[11]CANOPY (6)'!C3)</f>
        <v>#REF!</v>
      </c>
      <c r="D3" s="979"/>
      <c r="E3" s="103" t="s">
        <v>4</v>
      </c>
      <c r="F3" s="935" t="e">
        <f>IF('[11]CANOPY (6)'!G3="","",'[11]CANOPY (6)'!G3)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IF('[11]CANOPY (6)'!C5="","",'[11]CANOPY (6)'!C5)</f>
        <v>#REF!</v>
      </c>
      <c r="D5" s="979"/>
      <c r="E5" s="103" t="s">
        <v>8</v>
      </c>
      <c r="F5" s="935" t="e">
        <f>IF('[11]CANOPY (6)'!G5="","",'[11]CANOPY (6)'!G5)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IF('[11]CANOPY (6)'!C7="","",'[11]CANOPY (6)'!C7)</f>
        <v>#REF!</v>
      </c>
      <c r="D7" s="979"/>
      <c r="E7" s="103" t="s">
        <v>12</v>
      </c>
      <c r="F7" s="939" t="e">
        <f>IF('[11]CANOPY (6)'!G7="","",'[11]CANOPY (6)'!G7)</f>
        <v>#REF!</v>
      </c>
      <c r="G7" s="979"/>
      <c r="H7" s="245"/>
      <c r="J7" s="240" t="s">
        <v>14</v>
      </c>
      <c r="K7" s="787" t="e">
        <f>IF('[11]CANOPY (6)'!O7="","",'[11]CANOPY (6)'!O7)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1994" priority="24">
      <formula>B9="CURRENCY"</formula>
    </cfRule>
    <cfRule type="containsText" dxfId="1993" priority="23" operator="containsText" text="SELECT">
      <formula>NOT(ISERROR(SEARCH("SELECT",B9)))</formula>
    </cfRule>
  </conditionalFormatting>
  <conditionalFormatting sqref="B13:B24">
    <cfRule type="expression" dxfId="1992" priority="6">
      <formula>$C13&gt;0</formula>
    </cfRule>
  </conditionalFormatting>
  <conditionalFormatting sqref="B25:B39">
    <cfRule type="expression" dxfId="1991" priority="5">
      <formula>$C25&gt;0</formula>
    </cfRule>
  </conditionalFormatting>
  <conditionalFormatting sqref="B40:B42">
    <cfRule type="expression" dxfId="1990" priority="4">
      <formula>$C40&gt;0</formula>
    </cfRule>
  </conditionalFormatting>
  <conditionalFormatting sqref="B43:B50">
    <cfRule type="expression" dxfId="1989" priority="1">
      <formula>$C43&gt;0</formula>
    </cfRule>
  </conditionalFormatting>
  <conditionalFormatting sqref="B51:B54">
    <cfRule type="expression" dxfId="1988" priority="3">
      <formula>$C51&gt;0</formula>
    </cfRule>
  </conditionalFormatting>
  <conditionalFormatting sqref="B57:B66">
    <cfRule type="expression" dxfId="1987" priority="2">
      <formula>$C57&gt;0</formula>
    </cfRule>
  </conditionalFormatting>
  <conditionalFormatting sqref="C13:C54">
    <cfRule type="cellIs" dxfId="1986" priority="10" operator="lessThan">
      <formula>1</formula>
    </cfRule>
  </conditionalFormatting>
  <conditionalFormatting sqref="C57:C66">
    <cfRule type="cellIs" dxfId="1985" priority="26" operator="equal">
      <formula>0</formula>
    </cfRule>
  </conditionalFormatting>
  <conditionalFormatting sqref="C9:D9">
    <cfRule type="cellIs" dxfId="1984" priority="20" operator="lessThan">
      <formula>0</formula>
    </cfRule>
    <cfRule type="cellIs" dxfId="1983" priority="21" operator="greaterThan">
      <formula>0</formula>
    </cfRule>
  </conditionalFormatting>
  <conditionalFormatting sqref="F13:F54">
    <cfRule type="expression" dxfId="1982" priority="9">
      <formula>C13&gt;0</formula>
    </cfRule>
  </conditionalFormatting>
  <conditionalFormatting sqref="F57:F66">
    <cfRule type="expression" dxfId="1981" priority="19">
      <formula>C57&gt;0</formula>
    </cfRule>
  </conditionalFormatting>
  <conditionalFormatting sqref="F58:F66">
    <cfRule type="expression" dxfId="1980" priority="25">
      <formula>C58&lt;1</formula>
    </cfRule>
  </conditionalFormatting>
  <conditionalFormatting sqref="G13:G54">
    <cfRule type="cellIs" dxfId="1979" priority="8" operator="greaterThan">
      <formula>0</formula>
    </cfRule>
  </conditionalFormatting>
  <conditionalFormatting sqref="G57:G66">
    <cfRule type="cellIs" dxfId="1978" priority="18" operator="greaterThan">
      <formula>0</formula>
    </cfRule>
  </conditionalFormatting>
  <conditionalFormatting sqref="H13:H54">
    <cfRule type="expression" dxfId="1977" priority="15">
      <formula>$C$9&gt;0</formula>
    </cfRule>
    <cfRule type="expression" dxfId="1976" priority="16">
      <formula>$C$9&lt;0</formula>
    </cfRule>
  </conditionalFormatting>
  <conditionalFormatting sqref="H57:H66">
    <cfRule type="expression" dxfId="1975" priority="32">
      <formula>$C$9&lt;0</formula>
    </cfRule>
    <cfRule type="expression" dxfId="1974" priority="31">
      <formula>$C$9&gt;0</formula>
    </cfRule>
  </conditionalFormatting>
  <conditionalFormatting sqref="J2:J6 J75:J1048576">
    <cfRule type="expression" dxfId="1973" priority="27">
      <formula>$B$9="EURO"</formula>
    </cfRule>
  </conditionalFormatting>
  <conditionalFormatting sqref="J8:J67">
    <cfRule type="expression" dxfId="1972" priority="11">
      <formula>$B$9="EURO"</formula>
    </cfRule>
  </conditionalFormatting>
  <conditionalFormatting sqref="J9 J56:J66">
    <cfRule type="expression" dxfId="1971" priority="28">
      <formula>$B$9="USD"</formula>
    </cfRule>
    <cfRule type="expression" dxfId="1970" priority="29">
      <formula>$B$9="PLN"</formula>
    </cfRule>
    <cfRule type="expression" dxfId="1969" priority="30">
      <formula>$B$9="CZK"</formula>
    </cfRule>
  </conditionalFormatting>
  <conditionalFormatting sqref="J12:J54">
    <cfRule type="expression" dxfId="1968" priority="14">
      <formula>$B$9="CZK"</formula>
    </cfRule>
    <cfRule type="expression" dxfId="1967" priority="13">
      <formula>$B$9="PLN"</formula>
    </cfRule>
    <cfRule type="expression" dxfId="1966" priority="12">
      <formula>$B$9="USD"</formula>
    </cfRule>
  </conditionalFormatting>
  <conditionalFormatting sqref="J68:J74">
    <cfRule type="expression" dxfId="1965" priority="22">
      <formula>$F$10="EURO"</formula>
    </cfRule>
  </conditionalFormatting>
  <conditionalFormatting sqref="J13:K54">
    <cfRule type="cellIs" dxfId="1964" priority="7" operator="greaterThan">
      <formula>0</formula>
    </cfRule>
  </conditionalFormatting>
  <conditionalFormatting sqref="J57:K66">
    <cfRule type="cellIs" dxfId="1963" priority="17" operator="greaterThan">
      <formula>0</formula>
    </cfRule>
  </conditionalFormatting>
  <dataValidations count="1">
    <dataValidation type="list" allowBlank="1" showInputMessage="1" showErrorMessage="1" sqref="D55" xr:uid="{00000000-0002-0000-63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IF('[11]CANOPY (6)'!C3="","",'[11]CANOPY (6)'!C3)</f>
        <v>#REF!</v>
      </c>
      <c r="D3" s="979"/>
      <c r="E3" s="103" t="s">
        <v>4</v>
      </c>
      <c r="F3" s="935" t="e">
        <f>IF('[11]CANOPY (6)'!G3="","",'[11]CANOPY (6)'!G3)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IF('[11]CANOPY (6)'!C5="","",'[11]CANOPY (6)'!C5)</f>
        <v>#REF!</v>
      </c>
      <c r="D5" s="979"/>
      <c r="E5" s="103" t="s">
        <v>8</v>
      </c>
      <c r="F5" s="935" t="e">
        <f>IF('[11]CANOPY (6)'!G5="","",'[11]CANOPY (6)'!G5)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IF('[11]CANOPY (6)'!C7="","",'[11]CANOPY (6)'!C7)</f>
        <v>#REF!</v>
      </c>
      <c r="D7" s="979"/>
      <c r="E7" s="103" t="s">
        <v>12</v>
      </c>
      <c r="F7" s="939" t="e">
        <f>IF('[11]CANOPY (6)'!G7="","",'[11]CANOPY (6)'!G7)</f>
        <v>#REF!</v>
      </c>
      <c r="G7" s="979"/>
      <c r="H7" s="245"/>
      <c r="J7" s="240" t="s">
        <v>14</v>
      </c>
      <c r="K7" s="787" t="e">
        <f>IF('[11]CANOPY (6)'!O7="","",'[11]CANOPY (6)'!O7)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1962" priority="27">
      <formula>B9="CURRENCY"</formula>
    </cfRule>
    <cfRule type="containsText" dxfId="1961" priority="26" operator="containsText" text="SELECT">
      <formula>NOT(ISERROR(SEARCH("SELECT",B9)))</formula>
    </cfRule>
  </conditionalFormatting>
  <conditionalFormatting sqref="B13:B24">
    <cfRule type="expression" dxfId="1960" priority="4">
      <formula>$C13&gt;0</formula>
    </cfRule>
  </conditionalFormatting>
  <conditionalFormatting sqref="B25:B39">
    <cfRule type="expression" dxfId="1959" priority="3">
      <formula>$C25&gt;0</formula>
    </cfRule>
  </conditionalFormatting>
  <conditionalFormatting sqref="B40:B54">
    <cfRule type="expression" dxfId="1958" priority="2">
      <formula>$C40&gt;0</formula>
    </cfRule>
  </conditionalFormatting>
  <conditionalFormatting sqref="B57:B66">
    <cfRule type="expression" dxfId="1957" priority="1">
      <formula>$C57&gt;0</formula>
    </cfRule>
  </conditionalFormatting>
  <conditionalFormatting sqref="C13:C54">
    <cfRule type="cellIs" dxfId="1956" priority="13" operator="lessThan">
      <formula>1</formula>
    </cfRule>
  </conditionalFormatting>
  <conditionalFormatting sqref="C57:C66">
    <cfRule type="cellIs" dxfId="1955" priority="29" operator="equal">
      <formula>0</formula>
    </cfRule>
  </conditionalFormatting>
  <conditionalFormatting sqref="C9:D9">
    <cfRule type="cellIs" dxfId="1954" priority="24" operator="greaterThan">
      <formula>0</formula>
    </cfRule>
    <cfRule type="cellIs" dxfId="1953" priority="23" operator="lessThan">
      <formula>0</formula>
    </cfRule>
  </conditionalFormatting>
  <conditionalFormatting sqref="F13:F54">
    <cfRule type="expression" dxfId="1952" priority="12">
      <formula>C13&gt;0</formula>
    </cfRule>
  </conditionalFormatting>
  <conditionalFormatting sqref="F57:F66">
    <cfRule type="expression" dxfId="1951" priority="22">
      <formula>C57&gt;0</formula>
    </cfRule>
  </conditionalFormatting>
  <conditionalFormatting sqref="F58:F66">
    <cfRule type="expression" dxfId="1950" priority="28">
      <formula>C58&lt;1</formula>
    </cfRule>
  </conditionalFormatting>
  <conditionalFormatting sqref="G13:G54">
    <cfRule type="cellIs" dxfId="1949" priority="11" operator="greaterThan">
      <formula>0</formula>
    </cfRule>
  </conditionalFormatting>
  <conditionalFormatting sqref="G57:G66">
    <cfRule type="cellIs" dxfId="1948" priority="21" operator="greaterThan">
      <formula>0</formula>
    </cfRule>
  </conditionalFormatting>
  <conditionalFormatting sqref="H13:H54">
    <cfRule type="expression" dxfId="1947" priority="18">
      <formula>$C$9&gt;0</formula>
    </cfRule>
    <cfRule type="expression" dxfId="1946" priority="19">
      <formula>$C$9&lt;0</formula>
    </cfRule>
  </conditionalFormatting>
  <conditionalFormatting sqref="H57:H66">
    <cfRule type="expression" dxfId="1945" priority="34">
      <formula>$C$9&gt;0</formula>
    </cfRule>
    <cfRule type="expression" dxfId="1944" priority="35">
      <formula>$C$9&lt;0</formula>
    </cfRule>
  </conditionalFormatting>
  <conditionalFormatting sqref="J2:J6 J75:J1048576">
    <cfRule type="expression" dxfId="1943" priority="30">
      <formula>$B$9="EURO"</formula>
    </cfRule>
  </conditionalFormatting>
  <conditionalFormatting sqref="J8:J67">
    <cfRule type="expression" dxfId="1942" priority="14">
      <formula>$B$9="EURO"</formula>
    </cfRule>
  </conditionalFormatting>
  <conditionalFormatting sqref="J9 J56:J66">
    <cfRule type="expression" dxfId="1941" priority="31">
      <formula>$B$9="USD"</formula>
    </cfRule>
    <cfRule type="expression" dxfId="1940" priority="32">
      <formula>$B$9="PLN"</formula>
    </cfRule>
    <cfRule type="expression" dxfId="1939" priority="33">
      <formula>$B$9="CZK"</formula>
    </cfRule>
  </conditionalFormatting>
  <conditionalFormatting sqref="J12:J54">
    <cfRule type="expression" dxfId="1938" priority="17">
      <formula>$B$9="CZK"</formula>
    </cfRule>
    <cfRule type="expression" dxfId="1937" priority="16">
      <formula>$B$9="PLN"</formula>
    </cfRule>
    <cfRule type="expression" dxfId="1936" priority="15">
      <formula>$B$9="USD"</formula>
    </cfRule>
  </conditionalFormatting>
  <conditionalFormatting sqref="J68:J74">
    <cfRule type="expression" dxfId="1935" priority="25">
      <formula>$F$10="EURO"</formula>
    </cfRule>
  </conditionalFormatting>
  <conditionalFormatting sqref="J13:K54">
    <cfRule type="cellIs" dxfId="1934" priority="10" operator="greaterThan">
      <formula>0</formula>
    </cfRule>
  </conditionalFormatting>
  <conditionalFormatting sqref="J57:K66">
    <cfRule type="cellIs" dxfId="1933" priority="20" operator="greaterThan">
      <formula>0</formula>
    </cfRule>
  </conditionalFormatting>
  <conditionalFormatting sqref="M12:P54">
    <cfRule type="expression" dxfId="1932" priority="9">
      <formula>$B$9="CZK"</formula>
    </cfRule>
    <cfRule type="expression" dxfId="1931" priority="8">
      <formula>$B$9="PLN"</formula>
    </cfRule>
    <cfRule type="expression" dxfId="1930" priority="7">
      <formula>$B$9="USD"</formula>
    </cfRule>
    <cfRule type="expression" dxfId="1929" priority="6">
      <formula>$B$9="EURO"</formula>
    </cfRule>
  </conditionalFormatting>
  <conditionalFormatting sqref="M13:P54">
    <cfRule type="cellIs" dxfId="1928" priority="5" operator="greaterThan">
      <formula>0</formula>
    </cfRule>
  </conditionalFormatting>
  <dataValidations count="3">
    <dataValidation type="list" allowBlank="1" showInputMessage="1" showErrorMessage="1" sqref="D13" xr:uid="{00000000-0002-0000-6400-000000000000}">
      <formula1>FanSize</formula1>
    </dataValidation>
    <dataValidation type="list" allowBlank="1" showInputMessage="1" showErrorMessage="1" sqref="D55" xr:uid="{00000000-0002-0000-6400-000001000000}">
      <formula1>$B$3:$B$15</formula1>
    </dataValidation>
    <dataValidation type="list" allowBlank="1" showInputMessage="1" showErrorMessage="1" sqref="D26" xr:uid="{00000000-0002-0000-64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IF('[11]CANOPY (6)'!C3="","",'[11]CANOPY (6)'!C3)</f>
        <v>#REF!</v>
      </c>
      <c r="D3" s="979"/>
      <c r="E3" s="122" t="s">
        <v>4</v>
      </c>
      <c r="F3" s="987" t="e">
        <f>IF('[11]CANOPY (6)'!G3="","",'[11]CANOPY (6)'!G3)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IF('[11]CANOPY (6)'!C5="","",'[11]CANOPY (6)'!C5)</f>
        <v>#REF!</v>
      </c>
      <c r="D5" s="979"/>
      <c r="E5" s="122" t="s">
        <v>8</v>
      </c>
      <c r="F5" s="987" t="e">
        <f>IF('[11]CANOPY (6)'!G5="","",'[11]CANOPY (6)'!G5)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IF('[11]CANOPY (6)'!C7="","",'[11]CANOPY (6)'!C7)</f>
        <v>#REF!</v>
      </c>
      <c r="D7" s="979"/>
      <c r="E7" s="122" t="s">
        <v>12</v>
      </c>
      <c r="F7" s="989" t="e">
        <f>IF('[11]CANOPY (6)'!G7="","",'[11]CANOPY (6)'!G7)</f>
        <v>#REF!</v>
      </c>
      <c r="G7" s="979"/>
      <c r="H7" s="979"/>
      <c r="J7" s="197" t="s">
        <v>14</v>
      </c>
      <c r="K7" s="484" t="e">
        <f>IF('[11]CANOPY (6)'!O7="","",'[11]CANOPY (6)'!O7)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927" priority="8" operator="containsText" text="SELECT">
      <formula>NOT(ISERROR(SEARCH("SELECT",B10)))</formula>
    </cfRule>
    <cfRule type="expression" dxfId="1926" priority="9">
      <formula>B10="CURRENCY"</formula>
    </cfRule>
  </conditionalFormatting>
  <conditionalFormatting sqref="B14:B41">
    <cfRule type="expression" dxfId="1925" priority="2">
      <formula>$C14&gt;0</formula>
    </cfRule>
  </conditionalFormatting>
  <conditionalFormatting sqref="B44:B55">
    <cfRule type="expression" dxfId="1924" priority="1">
      <formula>$C44&gt;0</formula>
    </cfRule>
  </conditionalFormatting>
  <conditionalFormatting sqref="C14:C41 C44:C55">
    <cfRule type="cellIs" dxfId="1923" priority="12" operator="equal">
      <formula>0</formula>
    </cfRule>
  </conditionalFormatting>
  <conditionalFormatting sqref="C10:D10">
    <cfRule type="cellIs" dxfId="1922" priority="6" operator="lessThan">
      <formula>0</formula>
    </cfRule>
    <cfRule type="cellIs" dxfId="1921" priority="7" operator="greaterThan">
      <formula>0</formula>
    </cfRule>
  </conditionalFormatting>
  <conditionalFormatting sqref="E12:E13">
    <cfRule type="cellIs" dxfId="1920" priority="10" operator="greaterThan">
      <formula>0</formula>
    </cfRule>
    <cfRule type="cellIs" dxfId="1919" priority="11" operator="lessThan">
      <formula>0</formula>
    </cfRule>
  </conditionalFormatting>
  <conditionalFormatting sqref="F14:F41 F44:F55">
    <cfRule type="expression" dxfId="1918" priority="5">
      <formula>C14&gt;0</formula>
    </cfRule>
  </conditionalFormatting>
  <conditionalFormatting sqref="G14:G41 G44:G55">
    <cfRule type="cellIs" dxfId="1917" priority="4" operator="greaterThan">
      <formula>0</formula>
    </cfRule>
  </conditionalFormatting>
  <conditionalFormatting sqref="H14:H41 H44:H55">
    <cfRule type="expression" dxfId="1916" priority="17">
      <formula>$C$10&lt;0</formula>
    </cfRule>
    <cfRule type="expression" dxfId="1915" priority="18">
      <formula>$C$10&gt;0</formula>
    </cfRule>
  </conditionalFormatting>
  <conditionalFormatting sqref="J1:J6 J8:J11 J13:J1048576">
    <cfRule type="expression" dxfId="1914" priority="13">
      <formula>$B$10="EURO"</formula>
    </cfRule>
  </conditionalFormatting>
  <conditionalFormatting sqref="J10 J13:J41 J43:J55">
    <cfRule type="expression" dxfId="1913" priority="14">
      <formula>$B$10="PLN"</formula>
    </cfRule>
    <cfRule type="expression" dxfId="1912" priority="15">
      <formula>$B$10="CZK"</formula>
    </cfRule>
    <cfRule type="expression" dxfId="1911" priority="16">
      <formula>$B$10="USD"</formula>
    </cfRule>
  </conditionalFormatting>
  <conditionalFormatting sqref="J14:K41 J44:K56">
    <cfRule type="cellIs" dxfId="1910" priority="3" operator="greaterThan">
      <formula>0</formula>
    </cfRule>
  </conditionalFormatting>
  <dataValidations count="1">
    <dataValidation type="list" allowBlank="1" showInputMessage="1" showErrorMessage="1" sqref="F12:F13" xr:uid="{00000000-0002-0000-65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IF('[11]CANOPY (6)'!C3="","",'[11]CANOPY (6)'!C3)</f>
        <v>#REF!</v>
      </c>
      <c r="D3" s="990"/>
      <c r="E3" s="129"/>
      <c r="F3" s="132" t="s">
        <v>4</v>
      </c>
      <c r="G3" s="938" t="e">
        <f>IF('[11]CANOPY (6)'!G3="","",'[11]CANOPY (6)'!G3)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IF('[11]CANOPY (6)'!C5="","",'[11]CANOPY (6)'!C5)</f>
        <v>#REF!</v>
      </c>
      <c r="D5" s="990"/>
      <c r="E5" s="131"/>
      <c r="F5" s="132" t="s">
        <v>8</v>
      </c>
      <c r="G5" s="938" t="e">
        <f>IF('[11]CANOPY (6)'!G5="","",'[11]CANOPY (6)'!G5)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IF('[11]CANOPY (6)'!C7="","",'[11]CANOPY (6)'!C7)</f>
        <v>#REF!</v>
      </c>
      <c r="D7" s="990"/>
      <c r="E7" s="135"/>
      <c r="F7" s="136" t="s">
        <v>12</v>
      </c>
      <c r="G7" s="939" t="e">
        <f>IF('[11]CANOPY (6)'!G7="","",'[11]CANOPY (6)'!G7)</f>
        <v>#REF!</v>
      </c>
      <c r="H7" s="990"/>
      <c r="I7" s="51"/>
      <c r="J7" s="280"/>
      <c r="K7" s="280" t="s">
        <v>14</v>
      </c>
      <c r="L7" s="484" t="e">
        <f>IF('[11]CANOPY (6)'!O7="","",'[11]CANOPY (6)'!O7)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1909" priority="26">
      <formula>B9="CURRENCY"</formula>
    </cfRule>
    <cfRule type="containsText" dxfId="1908" priority="25" operator="containsText" text="SELECT">
      <formula>NOT(ISERROR(SEARCH("SELECT",B9)))</formula>
    </cfRule>
  </conditionalFormatting>
  <conditionalFormatting sqref="B15:B29">
    <cfRule type="expression" dxfId="1907" priority="9">
      <formula>$D15&gt;0</formula>
    </cfRule>
  </conditionalFormatting>
  <conditionalFormatting sqref="B49 E49:F49">
    <cfRule type="expression" dxfId="1906" priority="49">
      <formula>C40="select controls"</formula>
    </cfRule>
  </conditionalFormatting>
  <conditionalFormatting sqref="C13">
    <cfRule type="containsText" dxfId="1905" priority="29" operator="containsText" text="SELECT">
      <formula>NOT(ISERROR(SEARCH("SELECT",C13)))</formula>
    </cfRule>
  </conditionalFormatting>
  <conditionalFormatting sqref="C15:C22">
    <cfRule type="containsText" dxfId="1904" priority="15" operator="containsText" text="SIZE">
      <formula>NOT(ISERROR(SEARCH("SIZE",C15)))</formula>
    </cfRule>
  </conditionalFormatting>
  <conditionalFormatting sqref="C25">
    <cfRule type="containsText" dxfId="1903" priority="37" operator="containsText" text="SELECT CONTROLS">
      <formula>NOT(ISERROR(SEARCH("SELECT CONTROLS",C25)))</formula>
    </cfRule>
  </conditionalFormatting>
  <conditionalFormatting sqref="C26">
    <cfRule type="expression" dxfId="1902" priority="32">
      <formula>$C$25="SMARTEC"</formula>
    </cfRule>
    <cfRule type="containsText" dxfId="1901" priority="31" operator="containsText" text="st/st">
      <formula>NOT(ISERROR(SEARCH("st/st",C26)))</formula>
    </cfRule>
  </conditionalFormatting>
  <conditionalFormatting sqref="C31:C32">
    <cfRule type="cellIs" dxfId="1900" priority="20" operator="greaterThan">
      <formula>0</formula>
    </cfRule>
  </conditionalFormatting>
  <conditionalFormatting sqref="C52:C61">
    <cfRule type="cellIs" dxfId="1899" priority="28" operator="lessThan">
      <formula>1</formula>
    </cfRule>
  </conditionalFormatting>
  <conditionalFormatting sqref="C9:D9">
    <cfRule type="cellIs" dxfId="1898" priority="23" operator="lessThan">
      <formula>0</formula>
    </cfRule>
    <cfRule type="cellIs" dxfId="1897" priority="24" operator="greaterThan">
      <formula>0</formula>
    </cfRule>
  </conditionalFormatting>
  <conditionalFormatting sqref="C29:D29">
    <cfRule type="expression" dxfId="1896" priority="36">
      <formula>$C$25="REMOTE TOUCH SCREEN"</formula>
    </cfRule>
    <cfRule type="expression" dxfId="1895" priority="35">
      <formula>$C$25="SMARTEC"</formula>
    </cfRule>
  </conditionalFormatting>
  <conditionalFormatting sqref="D26">
    <cfRule type="expression" dxfId="1894" priority="33">
      <formula>C25="SMARTEC"</formula>
    </cfRule>
    <cfRule type="expression" dxfId="1893" priority="30">
      <formula>C26="st/st enclosure"</formula>
    </cfRule>
  </conditionalFormatting>
  <conditionalFormatting sqref="D29">
    <cfRule type="expression" dxfId="1892" priority="34">
      <formula>$C$25="SMARTEC"</formula>
    </cfRule>
  </conditionalFormatting>
  <conditionalFormatting sqref="D38">
    <cfRule type="expression" dxfId="1891" priority="48">
      <formula>#REF!="SMARTEC"</formula>
    </cfRule>
    <cfRule type="expression" dxfId="1890" priority="47">
      <formula>C38="st/st enclosure"</formula>
    </cfRule>
  </conditionalFormatting>
  <conditionalFormatting sqref="E39:E43">
    <cfRule type="expression" dxfId="1889" priority="46">
      <formula>#REF!="select controls"</formula>
    </cfRule>
  </conditionalFormatting>
  <conditionalFormatting sqref="E44:F45 B45:B48 E46:E47 E48:F48">
    <cfRule type="expression" dxfId="1888" priority="27">
      <formula>C38="select controls"</formula>
    </cfRule>
  </conditionalFormatting>
  <conditionalFormatting sqref="F40">
    <cfRule type="expression" dxfId="1887" priority="1">
      <formula>G34="select controls"</formula>
    </cfRule>
  </conditionalFormatting>
  <conditionalFormatting sqref="G15:G36">
    <cfRule type="cellIs" dxfId="1886" priority="2" operator="greaterThan">
      <formula>0</formula>
    </cfRule>
  </conditionalFormatting>
  <conditionalFormatting sqref="G38:G49">
    <cfRule type="cellIs" dxfId="1885" priority="18" operator="greaterThan">
      <formula>0</formula>
    </cfRule>
  </conditionalFormatting>
  <conditionalFormatting sqref="G52:G61">
    <cfRule type="expression" dxfId="1884" priority="8">
      <formula>C52&gt;0</formula>
    </cfRule>
  </conditionalFormatting>
  <conditionalFormatting sqref="H13 J13 L13">
    <cfRule type="expression" dxfId="1883" priority="38">
      <formula>$B$9="EURO"</formula>
    </cfRule>
  </conditionalFormatting>
  <conditionalFormatting sqref="H15:H61">
    <cfRule type="cellIs" dxfId="1882" priority="19" operator="greaterThan">
      <formula>0</formula>
    </cfRule>
  </conditionalFormatting>
  <conditionalFormatting sqref="I15:I36 I38:I49 I52:I61">
    <cfRule type="expression" dxfId="1881" priority="44">
      <formula>$C$9&lt;0</formula>
    </cfRule>
    <cfRule type="expression" dxfId="1880" priority="43">
      <formula>$C$9&gt;0</formula>
    </cfRule>
  </conditionalFormatting>
  <conditionalFormatting sqref="J37">
    <cfRule type="expression" dxfId="1879" priority="42">
      <formula>$B$9="EURO"</formula>
    </cfRule>
    <cfRule type="expression" dxfId="1878" priority="41">
      <formula>$B$9="USD"</formula>
    </cfRule>
    <cfRule type="expression" dxfId="1877" priority="40">
      <formula>$B$9="CZK"</formula>
    </cfRule>
    <cfRule type="expression" dxfId="1876" priority="39">
      <formula>$B$9="PLN"</formula>
    </cfRule>
  </conditionalFormatting>
  <conditionalFormatting sqref="J63:J69">
    <cfRule type="expression" dxfId="1875" priority="45">
      <formula>#REF!="EURO"</formula>
    </cfRule>
  </conditionalFormatting>
  <conditionalFormatting sqref="K1:K36">
    <cfRule type="expression" dxfId="1874" priority="5">
      <formula>$B$9="USD"</formula>
    </cfRule>
    <cfRule type="expression" dxfId="1873" priority="4">
      <formula>$B$9="EURO"</formula>
    </cfRule>
    <cfRule type="expression" dxfId="1872" priority="6">
      <formula>$B$9="PLN"</formula>
    </cfRule>
  </conditionalFormatting>
  <conditionalFormatting sqref="K1:K1048576">
    <cfRule type="expression" dxfId="1871" priority="7">
      <formula>$B$9="CZK"</formula>
    </cfRule>
  </conditionalFormatting>
  <conditionalFormatting sqref="K15:K36">
    <cfRule type="cellIs" dxfId="1870" priority="3" operator="greaterThan">
      <formula>0</formula>
    </cfRule>
  </conditionalFormatting>
  <conditionalFormatting sqref="K38:K49">
    <cfRule type="cellIs" dxfId="1869" priority="14" operator="greaterThan">
      <formula>0</formula>
    </cfRule>
  </conditionalFormatting>
  <conditionalFormatting sqref="K38:K1048576">
    <cfRule type="expression" dxfId="1868" priority="11">
      <formula>$B$9="EURO"</formula>
    </cfRule>
    <cfRule type="expression" dxfId="1867" priority="12">
      <formula>$B$9="USD"</formula>
    </cfRule>
    <cfRule type="expression" dxfId="1866" priority="13">
      <formula>$B$9="PLN"</formula>
    </cfRule>
  </conditionalFormatting>
  <conditionalFormatting sqref="K50">
    <cfRule type="cellIs" dxfId="1865" priority="22" operator="greaterThan">
      <formula>0</formula>
    </cfRule>
  </conditionalFormatting>
  <conditionalFormatting sqref="K52:K61">
    <cfRule type="cellIs" dxfId="1864" priority="10" operator="greaterThan">
      <formula>0</formula>
    </cfRule>
  </conditionalFormatting>
  <conditionalFormatting sqref="L15:L36 L52:L61">
    <cfRule type="cellIs" dxfId="1863" priority="21" operator="greaterThan">
      <formula>0</formula>
    </cfRule>
  </conditionalFormatting>
  <conditionalFormatting sqref="L38:L49">
    <cfRule type="cellIs" dxfId="1862" priority="17" operator="greaterThan">
      <formula>0</formula>
    </cfRule>
  </conditionalFormatting>
  <conditionalFormatting sqref="U40">
    <cfRule type="cellIs" dxfId="1861"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6600-000000000000}">
      <formula1>#REF!</formula1>
    </dataValidation>
    <dataValidation type="list" allowBlank="1" showInputMessage="1" showErrorMessage="1" sqref="C13" xr:uid="{00000000-0002-0000-6600-000001000000}">
      <formula1>"SELECT MODEL,INTERNAL,EXTERNAL"</formula1>
    </dataValidation>
    <dataValidation type="list" allowBlank="1" showInputMessage="1" showErrorMessage="1" sqref="C25" xr:uid="{00000000-0002-0000-66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IF('[11]CANOPY (6)'!C3="","",'[11]CANOPY (6)'!C3)</f>
        <v>#REF!</v>
      </c>
      <c r="D3" s="990"/>
      <c r="E3" s="129"/>
      <c r="F3" s="132" t="s">
        <v>4</v>
      </c>
      <c r="G3" s="938" t="e">
        <f>IF('[11]CANOPY (6)'!G3="","",'[11]CANOPY (6)'!G3)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IF('[11]CANOPY (6)'!C5="","",'[11]CANOPY (6)'!C5)</f>
        <v>#REF!</v>
      </c>
      <c r="D5" s="990"/>
      <c r="E5" s="131"/>
      <c r="F5" s="132" t="s">
        <v>8</v>
      </c>
      <c r="G5" s="938" t="e">
        <f>IF('[11]CANOPY (6)'!G5="","",'[11]CANOPY (6)'!G5)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IF('[11]CANOPY (6)'!C7="","",'[11]CANOPY (6)'!C7)</f>
        <v>#REF!</v>
      </c>
      <c r="D7" s="990"/>
      <c r="E7" s="135"/>
      <c r="F7" s="136" t="s">
        <v>12</v>
      </c>
      <c r="G7" s="939" t="e">
        <f>IF('[11]CANOPY (6)'!G7="","",'[11]CANOPY (6)'!G7)</f>
        <v>#REF!</v>
      </c>
      <c r="H7" s="990"/>
      <c r="I7" s="51"/>
      <c r="J7" s="280"/>
      <c r="K7" s="280" t="s">
        <v>14</v>
      </c>
      <c r="L7" s="484" t="e">
        <f>IF('[11]CANOPY (6)'!O7="","",'[11]CANOPY (6)'!O7)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1860" priority="30">
      <formula>B9="CURRENCY"</formula>
    </cfRule>
    <cfRule type="containsText" dxfId="1859" priority="29" operator="containsText" text="SELECT">
      <formula>NOT(ISERROR(SEARCH("SELECT",B9)))</formula>
    </cfRule>
  </conditionalFormatting>
  <conditionalFormatting sqref="B15:B30">
    <cfRule type="expression" dxfId="1858" priority="2">
      <formula>$D15&gt;0</formula>
    </cfRule>
  </conditionalFormatting>
  <conditionalFormatting sqref="B50 E50:F50">
    <cfRule type="expression" dxfId="1857" priority="53">
      <formula>C41="select controls"</formula>
    </cfRule>
  </conditionalFormatting>
  <conditionalFormatting sqref="C13">
    <cfRule type="containsText" dxfId="1856" priority="33" operator="containsText" text="SELECT">
      <formula>NOT(ISERROR(SEARCH("SELECT",C13)))</formula>
    </cfRule>
  </conditionalFormatting>
  <conditionalFormatting sqref="C15:C23">
    <cfRule type="containsText" dxfId="1855" priority="8" operator="containsText" text="SIZE">
      <formula>NOT(ISERROR(SEARCH("SIZE",C15)))</formula>
    </cfRule>
  </conditionalFormatting>
  <conditionalFormatting sqref="C26">
    <cfRule type="containsText" dxfId="1854" priority="41" operator="containsText" text="SELECT CONTROLS">
      <formula>NOT(ISERROR(SEARCH("SELECT CONTROLS",C26)))</formula>
    </cfRule>
  </conditionalFormatting>
  <conditionalFormatting sqref="C27">
    <cfRule type="expression" dxfId="1853" priority="36">
      <formula>$C$26="SMARTEC"</formula>
    </cfRule>
    <cfRule type="containsText" dxfId="1852" priority="35" operator="containsText" text="st/st">
      <formula>NOT(ISERROR(SEARCH("st/st",C27)))</formula>
    </cfRule>
  </conditionalFormatting>
  <conditionalFormatting sqref="C32:C33">
    <cfRule type="cellIs" dxfId="1851" priority="24" operator="greaterThan">
      <formula>0</formula>
    </cfRule>
  </conditionalFormatting>
  <conditionalFormatting sqref="C53:C62">
    <cfRule type="cellIs" dxfId="1850" priority="32" operator="lessThan">
      <formula>1</formula>
    </cfRule>
  </conditionalFormatting>
  <conditionalFormatting sqref="C9:D9">
    <cfRule type="cellIs" dxfId="1849" priority="27" operator="lessThan">
      <formula>0</formula>
    </cfRule>
    <cfRule type="cellIs" dxfId="1848" priority="28" operator="greaterThan">
      <formula>0</formula>
    </cfRule>
  </conditionalFormatting>
  <conditionalFormatting sqref="C30:D30">
    <cfRule type="expression" dxfId="1847" priority="40">
      <formula>$C$26="REMOTE TOUCH SCREEN"</formula>
    </cfRule>
    <cfRule type="expression" dxfId="1846" priority="39">
      <formula>$C$26="SMARTEC"</formula>
    </cfRule>
  </conditionalFormatting>
  <conditionalFormatting sqref="D27">
    <cfRule type="expression" dxfId="1845" priority="37">
      <formula>C26="SMARTEC"</formula>
    </cfRule>
    <cfRule type="expression" dxfId="1844" priority="34">
      <formula>C27="st/st enclosure"</formula>
    </cfRule>
  </conditionalFormatting>
  <conditionalFormatting sqref="D30">
    <cfRule type="expression" dxfId="1843" priority="38">
      <formula>$C$26="SMARTEC"</formula>
    </cfRule>
  </conditionalFormatting>
  <conditionalFormatting sqref="D39">
    <cfRule type="expression" dxfId="1842" priority="52">
      <formula>#REF!="SMARTEC"</formula>
    </cfRule>
    <cfRule type="expression" dxfId="1841" priority="51">
      <formula>C39="st/st enclosure"</formula>
    </cfRule>
  </conditionalFormatting>
  <conditionalFormatting sqref="E40:E44">
    <cfRule type="expression" dxfId="1840" priority="50">
      <formula>#REF!="select controls"</formula>
    </cfRule>
  </conditionalFormatting>
  <conditionalFormatting sqref="E45 E46:F46 B46:B47 E47:E48 B49 E49:F49">
    <cfRule type="expression" dxfId="1839" priority="31">
      <formula>C39="select controls"</formula>
    </cfRule>
  </conditionalFormatting>
  <conditionalFormatting sqref="F41:F45">
    <cfRule type="expression" dxfId="1838" priority="1">
      <formula>G35="select controls"</formula>
    </cfRule>
  </conditionalFormatting>
  <conditionalFormatting sqref="G15:G37">
    <cfRule type="cellIs" dxfId="1837" priority="9" operator="greaterThan">
      <formula>0</formula>
    </cfRule>
  </conditionalFormatting>
  <conditionalFormatting sqref="G39:G50">
    <cfRule type="cellIs" dxfId="1836" priority="14" operator="greaterThan">
      <formula>0</formula>
    </cfRule>
  </conditionalFormatting>
  <conditionalFormatting sqref="G53:G62">
    <cfRule type="expression" dxfId="1835" priority="15">
      <formula>C53&gt;0</formula>
    </cfRule>
  </conditionalFormatting>
  <conditionalFormatting sqref="H13 J13 L13">
    <cfRule type="expression" dxfId="1834" priority="42">
      <formula>$B$9="EURO"</formula>
    </cfRule>
  </conditionalFormatting>
  <conditionalFormatting sqref="H23">
    <cfRule type="cellIs" dxfId="1833" priority="11" operator="greaterThan">
      <formula>0</formula>
    </cfRule>
  </conditionalFormatting>
  <conditionalFormatting sqref="H25:H62">
    <cfRule type="cellIs" dxfId="1832" priority="23" operator="greaterThan">
      <formula>0</formula>
    </cfRule>
  </conditionalFormatting>
  <conditionalFormatting sqref="H15:L22 L53:L62">
    <cfRule type="cellIs" dxfId="1831" priority="25" operator="greaterThan">
      <formula>0</formula>
    </cfRule>
  </conditionalFormatting>
  <conditionalFormatting sqref="I15:I37">
    <cfRule type="expression" dxfId="1830" priority="12">
      <formula>$C$9&gt;0</formula>
    </cfRule>
  </conditionalFormatting>
  <conditionalFormatting sqref="I23:I37">
    <cfRule type="expression" dxfId="1829" priority="13">
      <formula>$C$9&lt;0</formula>
    </cfRule>
  </conditionalFormatting>
  <conditionalFormatting sqref="I39:I50 I53:I62 I15:I22">
    <cfRule type="expression" dxfId="1828" priority="48">
      <formula>$C$9&lt;0</formula>
    </cfRule>
  </conditionalFormatting>
  <conditionalFormatting sqref="I39:I50 I53:I62">
    <cfRule type="expression" dxfId="1827" priority="47">
      <formula>$C$9&gt;0</formula>
    </cfRule>
  </conditionalFormatting>
  <conditionalFormatting sqref="J38">
    <cfRule type="expression" dxfId="1826" priority="43">
      <formula>$B$9="PLN"</formula>
    </cfRule>
    <cfRule type="expression" dxfId="1825" priority="44">
      <formula>$B$9="CZK"</formula>
    </cfRule>
    <cfRule type="expression" dxfId="1824" priority="45">
      <formula>$B$9="USD"</formula>
    </cfRule>
    <cfRule type="expression" dxfId="1823" priority="46">
      <formula>$B$9="EURO"</formula>
    </cfRule>
  </conditionalFormatting>
  <conditionalFormatting sqref="J64:J70">
    <cfRule type="expression" dxfId="1822" priority="49">
      <formula>#REF!="EURO"</formula>
    </cfRule>
  </conditionalFormatting>
  <conditionalFormatting sqref="K1:K37">
    <cfRule type="expression" dxfId="1821" priority="5">
      <formula>$B$9="USD"</formula>
    </cfRule>
    <cfRule type="expression" dxfId="1820" priority="4">
      <formula>$B$9="EURO"</formula>
    </cfRule>
    <cfRule type="expression" dxfId="1819" priority="6">
      <formula>$B$9="PLN"</formula>
    </cfRule>
  </conditionalFormatting>
  <conditionalFormatting sqref="K1:K1048576">
    <cfRule type="expression" dxfId="1818" priority="7">
      <formula>$B$9="CZK"</formula>
    </cfRule>
  </conditionalFormatting>
  <conditionalFormatting sqref="K15:K37">
    <cfRule type="cellIs" dxfId="1817" priority="3" operator="greaterThan">
      <formula>0</formula>
    </cfRule>
  </conditionalFormatting>
  <conditionalFormatting sqref="K39:K50">
    <cfRule type="cellIs" dxfId="1816" priority="20" operator="greaterThan">
      <formula>0</formula>
    </cfRule>
  </conditionalFormatting>
  <conditionalFormatting sqref="K39:K1048576">
    <cfRule type="expression" dxfId="1815" priority="19">
      <formula>$B$9="PLN"</formula>
    </cfRule>
    <cfRule type="expression" dxfId="1814" priority="18">
      <formula>$B$9="USD"</formula>
    </cfRule>
    <cfRule type="expression" dxfId="1813" priority="17">
      <formula>$B$9="EURO"</formula>
    </cfRule>
  </conditionalFormatting>
  <conditionalFormatting sqref="K51">
    <cfRule type="cellIs" dxfId="1812" priority="26" operator="greaterThan">
      <formula>0</formula>
    </cfRule>
  </conditionalFormatting>
  <conditionalFormatting sqref="K53:K62">
    <cfRule type="cellIs" dxfId="1811" priority="16" operator="greaterThan">
      <formula>0</formula>
    </cfRule>
  </conditionalFormatting>
  <conditionalFormatting sqref="L23:L37">
    <cfRule type="cellIs" dxfId="1810" priority="10" operator="greaterThan">
      <formula>0</formula>
    </cfRule>
  </conditionalFormatting>
  <conditionalFormatting sqref="L39:L50">
    <cfRule type="cellIs" dxfId="1809" priority="22" operator="greaterThan">
      <formula>0</formula>
    </cfRule>
  </conditionalFormatting>
  <conditionalFormatting sqref="T41">
    <cfRule type="cellIs" dxfId="1808" priority="21" operator="greaterThan">
      <formula>0</formula>
    </cfRule>
  </conditionalFormatting>
  <dataValidations count="3">
    <dataValidation type="list" allowBlank="1" showInputMessage="1" showErrorMessage="1" sqref="C26" xr:uid="{00000000-0002-0000-6700-000000000000}">
      <formula1>"SELECT CONTROLS,SMARTEC, REMOTE TOUCH SCREEN"</formula1>
    </dataValidation>
    <dataValidation type="list" allowBlank="1" showInputMessage="1" showErrorMessage="1" sqref="C13" xr:uid="{00000000-0002-0000-67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67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IF('[11]CANOPY (6)'!C3="","",'[11]CANOPY (6)'!C3)</f>
        <v>#REF!</v>
      </c>
      <c r="E3" s="934"/>
      <c r="G3" s="71" t="s">
        <v>4</v>
      </c>
      <c r="H3" s="935" t="e">
        <f>IF('[11]CANOPY (6)'!G3="","",'[11]CANOPY (6)'!G3)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IF('[11]CANOPY (6)'!C5="","",'[11]CANOPY (6)'!C5)</f>
        <v>#REF!</v>
      </c>
      <c r="E5" s="934"/>
      <c r="G5" s="71" t="s">
        <v>8</v>
      </c>
      <c r="H5" s="935" t="e">
        <f>IF('[11]CANOPY (6)'!G5="","",'[11]CANOPY (6)'!G5)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IF('[11]CANOPY (6)'!C7="","",'[11]CANOPY (6)'!C7)</f>
        <v>#REF!</v>
      </c>
      <c r="E7" s="934"/>
      <c r="G7" s="71" t="s">
        <v>12</v>
      </c>
      <c r="H7" s="939" t="e">
        <f>IF('[11]CANOPY (6)'!G7="","",'[11]CANOPY (6)'!G7)</f>
        <v>#REF!</v>
      </c>
      <c r="I7" s="936"/>
      <c r="J7" s="937"/>
      <c r="N7" s="266" t="s">
        <v>14</v>
      </c>
      <c r="O7" s="787" t="e">
        <f>IF('[11]CANOPY (6)'!O7="","",'[11]CANOPY (6)'!O7)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1807" priority="26">
      <formula>C9="CURRENCY"</formula>
    </cfRule>
    <cfRule type="containsText" dxfId="1806" priority="25" operator="containsText" text="SELECT">
      <formula>NOT(ISERROR(SEARCH("SELECT",C9)))</formula>
    </cfRule>
  </conditionalFormatting>
  <conditionalFormatting sqref="C14:C23">
    <cfRule type="expression" dxfId="1805" priority="1">
      <formula>$J14&gt;0</formula>
    </cfRule>
  </conditionalFormatting>
  <conditionalFormatting sqref="C27:C37">
    <cfRule type="expression" dxfId="1804" priority="10">
      <formula>$D27&gt;0</formula>
    </cfRule>
  </conditionalFormatting>
  <conditionalFormatting sqref="D27:D28 D30:D37">
    <cfRule type="cellIs" dxfId="1803" priority="27" operator="lessThan">
      <formula>1</formula>
    </cfRule>
  </conditionalFormatting>
  <conditionalFormatting sqref="D29">
    <cfRule type="cellIs" dxfId="1802" priority="22" operator="lessThan">
      <formula>1</formula>
    </cfRule>
  </conditionalFormatting>
  <conditionalFormatting sqref="D9:E9">
    <cfRule type="cellIs" dxfId="1801" priority="23" operator="lessThan">
      <formula>0</formula>
    </cfRule>
    <cfRule type="cellIs" dxfId="1800" priority="24" operator="greaterThan">
      <formula>0</formula>
    </cfRule>
  </conditionalFormatting>
  <conditionalFormatting sqref="F12">
    <cfRule type="cellIs" dxfId="1799" priority="37" operator="greaterThan">
      <formula>2000</formula>
    </cfRule>
    <cfRule type="expression" dxfId="1798" priority="36">
      <formula>ISNUMBER(SEARCH("I-MUAP",#REF!))</formula>
    </cfRule>
    <cfRule type="expression" dxfId="1797" priority="35">
      <formula>AND((ISNUMBER(SEARCH("I-MUAP",#REF!))),F12&lt;2500)</formula>
    </cfRule>
  </conditionalFormatting>
  <conditionalFormatting sqref="F12:G12">
    <cfRule type="cellIs" dxfId="1796" priority="28" operator="lessThan">
      <formula>1000</formula>
    </cfRule>
  </conditionalFormatting>
  <conditionalFormatting sqref="F14:G19">
    <cfRule type="cellIs" dxfId="1795" priority="3" operator="lessThan">
      <formula>1000</formula>
    </cfRule>
  </conditionalFormatting>
  <conditionalFormatting sqref="G12">
    <cfRule type="cellIs" dxfId="1794" priority="29" operator="greaterThan">
      <formula>3001</formula>
    </cfRule>
  </conditionalFormatting>
  <conditionalFormatting sqref="H11">
    <cfRule type="expression" dxfId="1793" priority="38">
      <formula>((#REF!-50)/#REF!)&lt;950</formula>
    </cfRule>
  </conditionalFormatting>
  <conditionalFormatting sqref="H12">
    <cfRule type="expression" dxfId="1792" priority="39">
      <formula>((#REF!-50)/#REF!)&lt;950</formula>
    </cfRule>
  </conditionalFormatting>
  <conditionalFormatting sqref="H14:H19">
    <cfRule type="cellIs" dxfId="1791" priority="4" operator="lessThan">
      <formula>400</formula>
    </cfRule>
  </conditionalFormatting>
  <conditionalFormatting sqref="H24">
    <cfRule type="expression" dxfId="1790" priority="34">
      <formula>((#REF!-50)/#REF!)&lt;950</formula>
    </cfRule>
  </conditionalFormatting>
  <conditionalFormatting sqref="J14:J21">
    <cfRule type="cellIs" dxfId="1789" priority="15" operator="greaterThan">
      <formula>0</formula>
    </cfRule>
  </conditionalFormatting>
  <conditionalFormatting sqref="J27:J37">
    <cfRule type="expression" dxfId="1788" priority="16">
      <formula>D27&gt;0</formula>
    </cfRule>
  </conditionalFormatting>
  <conditionalFormatting sqref="J39:J45">
    <cfRule type="expression" dxfId="1787" priority="44">
      <formula>#REF!="EURO"</formula>
    </cfRule>
  </conditionalFormatting>
  <conditionalFormatting sqref="K14:K23 N14:O23">
    <cfRule type="cellIs" dxfId="1786" priority="2" operator="greaterThan">
      <formula>0</formula>
    </cfRule>
  </conditionalFormatting>
  <conditionalFormatting sqref="K27:K37">
    <cfRule type="cellIs" dxfId="1785" priority="21" operator="greaterThan">
      <formula>0</formula>
    </cfRule>
  </conditionalFormatting>
  <conditionalFormatting sqref="K39:K45">
    <cfRule type="expression" dxfId="1784" priority="40">
      <formula>$C$9="PLN"</formula>
    </cfRule>
    <cfRule type="expression" dxfId="1783" priority="41">
      <formula>$C$9="CZK"</formula>
    </cfRule>
    <cfRule type="expression" dxfId="1782" priority="42">
      <formula>$C$9="USD"</formula>
    </cfRule>
    <cfRule type="expression" dxfId="1781" priority="43">
      <formula>$C$9="EURO"</formula>
    </cfRule>
  </conditionalFormatting>
  <conditionalFormatting sqref="L14:L23">
    <cfRule type="expression" dxfId="1780" priority="14">
      <formula>$D$9&gt;0</formula>
    </cfRule>
    <cfRule type="expression" dxfId="1779" priority="13">
      <formula>$D$9&lt;0</formula>
    </cfRule>
  </conditionalFormatting>
  <conditionalFormatting sqref="L27:L37">
    <cfRule type="expression" dxfId="1778" priority="12">
      <formula>$D$9&gt;0</formula>
    </cfRule>
    <cfRule type="expression" dxfId="1777" priority="11">
      <formula>$D$9&lt;0</formula>
    </cfRule>
  </conditionalFormatting>
  <conditionalFormatting sqref="N9 N12">
    <cfRule type="expression" dxfId="1776" priority="30">
      <formula>$C$9="PLN"</formula>
    </cfRule>
    <cfRule type="expression" dxfId="1775" priority="31">
      <formula>$C$9="CZK"</formula>
    </cfRule>
    <cfRule type="expression" dxfId="1774" priority="32">
      <formula>$C$9="USD"</formula>
    </cfRule>
    <cfRule type="expression" dxfId="1773" priority="33">
      <formula>$C$9="EURO"</formula>
    </cfRule>
  </conditionalFormatting>
  <conditionalFormatting sqref="N14:N23">
    <cfRule type="expression" dxfId="1772" priority="20">
      <formula>$C$9="EURO"</formula>
    </cfRule>
    <cfRule type="expression" dxfId="1771" priority="19">
      <formula>$C$9="USD"</formula>
    </cfRule>
    <cfRule type="expression" dxfId="1770" priority="18">
      <formula>$C$9="CZK"</formula>
    </cfRule>
    <cfRule type="expression" dxfId="1769" priority="17">
      <formula>$C$9="PLN"</formula>
    </cfRule>
  </conditionalFormatting>
  <conditionalFormatting sqref="N26:N37">
    <cfRule type="expression" dxfId="1768" priority="6">
      <formula>$C$9="PLN"</formula>
    </cfRule>
    <cfRule type="expression" dxfId="1767" priority="7">
      <formula>$C$9="CZK"</formula>
    </cfRule>
    <cfRule type="expression" dxfId="1766" priority="9">
      <formula>$C$9="EURO"</formula>
    </cfRule>
    <cfRule type="expression" dxfId="1765" priority="8">
      <formula>$C$9="USD"</formula>
    </cfRule>
  </conditionalFormatting>
  <conditionalFormatting sqref="N27:O37">
    <cfRule type="cellIs" dxfId="1764" priority="5" operator="greaterThan">
      <formula>0</formula>
    </cfRule>
  </conditionalFormatting>
  <dataValidations count="3">
    <dataValidation operator="greaterThan" allowBlank="1" showInputMessage="1" showErrorMessage="1" sqref="F14:F19" xr:uid="{00000000-0002-0000-6800-000000000000}"/>
    <dataValidation type="list" allowBlank="1" showInputMessage="1" showErrorMessage="1" sqref="E14:E23" xr:uid="{00000000-0002-0000-6800-000001000000}">
      <formula1>"0,1,2,3,4,5,6,7,8,9,10,11,12,13,14,15,16,17,18,19,20"</formula1>
    </dataValidation>
    <dataValidation type="list" allowBlank="1" showInputMessage="1" showErrorMessage="1" sqref="H25" xr:uid="{00000000-0002-0000-68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IF('[11]CANOPY (6)'!C3="","",'[11]CANOPY (6)'!C3)</f>
        <v>#REF!</v>
      </c>
      <c r="E3" s="934"/>
      <c r="G3" s="71" t="s">
        <v>4</v>
      </c>
      <c r="H3" s="935" t="e">
        <f>IF('[11]CANOPY (6)'!G3="","",'[11]CANOPY (6)'!G3)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IF('[11]CANOPY (6)'!C5="","",'[11]CANOPY (6)'!C5)</f>
        <v>#REF!</v>
      </c>
      <c r="E5" s="934"/>
      <c r="G5" s="71" t="s">
        <v>8</v>
      </c>
      <c r="H5" s="935" t="e">
        <f>IF('[11]CANOPY (6)'!G5="","",'[11]CANOPY (6)'!G5)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IF('[11]CANOPY (6)'!C7="","",'[11]CANOPY (6)'!C7)</f>
        <v>#REF!</v>
      </c>
      <c r="E7" s="934"/>
      <c r="G7" s="71" t="s">
        <v>12</v>
      </c>
      <c r="H7" s="939" t="e">
        <f>IF('[11]CANOPY (6)'!G7="","",'[11]CANOPY (6)'!G7)</f>
        <v>#REF!</v>
      </c>
      <c r="I7" s="936"/>
      <c r="J7" s="937"/>
      <c r="N7" s="266" t="s">
        <v>14</v>
      </c>
      <c r="O7" s="787" t="e">
        <f>IF('[11]CANOPY (6)'!O7="","",'[11]CANOPY (6)'!O7)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763" priority="34">
      <formula>C9="CURRENCY"</formula>
    </cfRule>
    <cfRule type="containsText" dxfId="1762" priority="33" operator="containsText" text="SELECT">
      <formula>NOT(ISERROR(SEARCH("SELECT",C9)))</formula>
    </cfRule>
  </conditionalFormatting>
  <conditionalFormatting sqref="C14:C32">
    <cfRule type="expression" dxfId="1761" priority="10">
      <formula>$J14&gt;0</formula>
    </cfRule>
  </conditionalFormatting>
  <conditionalFormatting sqref="C36:C46">
    <cfRule type="expression" dxfId="1760" priority="9">
      <formula>$D36&gt;0</formula>
    </cfRule>
  </conditionalFormatting>
  <conditionalFormatting sqref="D36:D37 D39:D46">
    <cfRule type="cellIs" dxfId="1759" priority="35" operator="lessThan">
      <formula>1</formula>
    </cfRule>
  </conditionalFormatting>
  <conditionalFormatting sqref="D38">
    <cfRule type="cellIs" dxfId="1758" priority="30" operator="lessThan">
      <formula>1</formula>
    </cfRule>
  </conditionalFormatting>
  <conditionalFormatting sqref="D9:E9">
    <cfRule type="cellIs" dxfId="1757" priority="32" operator="greaterThan">
      <formula>0</formula>
    </cfRule>
    <cfRule type="cellIs" dxfId="1756" priority="31" operator="lessThan">
      <formula>0</formula>
    </cfRule>
  </conditionalFormatting>
  <conditionalFormatting sqref="F12">
    <cfRule type="cellIs" dxfId="1755" priority="42" operator="greaterThan">
      <formula>2000</formula>
    </cfRule>
    <cfRule type="expression" dxfId="1754" priority="41">
      <formula>ISNUMBER(SEARCH("I-MUAP",$E$14))</formula>
    </cfRule>
    <cfRule type="expression" dxfId="1753" priority="40">
      <formula>AND((ISNUMBER(SEARCH("I-MUAP",$E$14))),F12&lt;2500)</formula>
    </cfRule>
  </conditionalFormatting>
  <conditionalFormatting sqref="F12:G12">
    <cfRule type="cellIs" dxfId="1752" priority="36" operator="lessThan">
      <formula>1000</formula>
    </cfRule>
  </conditionalFormatting>
  <conditionalFormatting sqref="F14:G26">
    <cfRule type="cellIs" dxfId="1751" priority="2" operator="lessThan">
      <formula>1000</formula>
    </cfRule>
  </conditionalFormatting>
  <conditionalFormatting sqref="G12">
    <cfRule type="cellIs" dxfId="1750" priority="37" operator="greaterThan">
      <formula>3001</formula>
    </cfRule>
  </conditionalFormatting>
  <conditionalFormatting sqref="H11">
    <cfRule type="expression" dxfId="1749" priority="39">
      <formula>((G14-50)/I14)&lt;950</formula>
    </cfRule>
  </conditionalFormatting>
  <conditionalFormatting sqref="H12">
    <cfRule type="expression" dxfId="1748" priority="38">
      <formula>((G14-50)/I14)&lt;950</formula>
    </cfRule>
  </conditionalFormatting>
  <conditionalFormatting sqref="H14:H26">
    <cfRule type="cellIs" dxfId="1747" priority="3" operator="lessThan">
      <formula>400</formula>
    </cfRule>
  </conditionalFormatting>
  <conditionalFormatting sqref="H33">
    <cfRule type="expression" dxfId="1746" priority="47">
      <formula>((#REF!-50)/#REF!)&lt;950</formula>
    </cfRule>
  </conditionalFormatting>
  <conditionalFormatting sqref="J14:J30">
    <cfRule type="cellIs" dxfId="1745" priority="15" operator="greaterThan">
      <formula>0</formula>
    </cfRule>
  </conditionalFormatting>
  <conditionalFormatting sqref="J36:J46">
    <cfRule type="expression" dxfId="1744" priority="23">
      <formula>D36&gt;0</formula>
    </cfRule>
  </conditionalFormatting>
  <conditionalFormatting sqref="J48:J54">
    <cfRule type="expression" dxfId="1743" priority="28">
      <formula>#REF!="EURO"</formula>
    </cfRule>
  </conditionalFormatting>
  <conditionalFormatting sqref="K14:K32">
    <cfRule type="cellIs" dxfId="1742" priority="1" operator="greaterThan">
      <formula>0</formula>
    </cfRule>
  </conditionalFormatting>
  <conditionalFormatting sqref="K36:K46">
    <cfRule type="cellIs" dxfId="1741" priority="29" operator="greaterThan">
      <formula>0</formula>
    </cfRule>
  </conditionalFormatting>
  <conditionalFormatting sqref="K48:K54">
    <cfRule type="expression" dxfId="1740" priority="24">
      <formula>$C$9="PLN"</formula>
    </cfRule>
    <cfRule type="expression" dxfId="1739" priority="25">
      <formula>$C$9="CZK"</formula>
    </cfRule>
    <cfRule type="expression" dxfId="1738" priority="26">
      <formula>$C$9="USD"</formula>
    </cfRule>
    <cfRule type="expression" dxfId="1737" priority="27">
      <formula>$C$9="EURO"</formula>
    </cfRule>
  </conditionalFormatting>
  <conditionalFormatting sqref="L14:L32">
    <cfRule type="expression" dxfId="1736" priority="13">
      <formula>$D$9&lt;0</formula>
    </cfRule>
    <cfRule type="expression" dxfId="1735" priority="14">
      <formula>$D$9&gt;0</formula>
    </cfRule>
  </conditionalFormatting>
  <conditionalFormatting sqref="L36:L46">
    <cfRule type="expression" dxfId="1734" priority="12">
      <formula>$D$9&gt;0</formula>
    </cfRule>
    <cfRule type="expression" dxfId="1733" priority="11">
      <formula>$D$9&lt;0</formula>
    </cfRule>
  </conditionalFormatting>
  <conditionalFormatting sqref="N9 N12">
    <cfRule type="expression" dxfId="1732" priority="43">
      <formula>$C$9="PLN"</formula>
    </cfRule>
    <cfRule type="expression" dxfId="1731" priority="44">
      <formula>$C$9="CZK"</formula>
    </cfRule>
    <cfRule type="expression" dxfId="1730" priority="45">
      <formula>$C$9="USD"</formula>
    </cfRule>
    <cfRule type="expression" dxfId="1729" priority="46">
      <formula>$C$9="EURO"</formula>
    </cfRule>
  </conditionalFormatting>
  <conditionalFormatting sqref="N14:N32">
    <cfRule type="expression" dxfId="1728" priority="20">
      <formula>$C$9="EURO"</formula>
    </cfRule>
    <cfRule type="expression" dxfId="1727" priority="19">
      <formula>$C$9="USD"</formula>
    </cfRule>
    <cfRule type="expression" dxfId="1726" priority="18">
      <formula>$C$9="CZK"</formula>
    </cfRule>
    <cfRule type="expression" dxfId="1725" priority="17">
      <formula>$C$9="PLN"</formula>
    </cfRule>
  </conditionalFormatting>
  <conditionalFormatting sqref="N18:N20">
    <cfRule type="cellIs" dxfId="1724" priority="21" operator="greaterThan">
      <formula>0</formula>
    </cfRule>
  </conditionalFormatting>
  <conditionalFormatting sqref="N35:N46">
    <cfRule type="expression" dxfId="1723" priority="8">
      <formula>$C$9="EURO"</formula>
    </cfRule>
    <cfRule type="expression" dxfId="1722" priority="7">
      <formula>$C$9="USD"</formula>
    </cfRule>
    <cfRule type="expression" dxfId="1721" priority="6">
      <formula>$C$9="CZK"</formula>
    </cfRule>
    <cfRule type="expression" dxfId="1720" priority="5">
      <formula>$C$9="PLN"</formula>
    </cfRule>
  </conditionalFormatting>
  <conditionalFormatting sqref="N14:O32">
    <cfRule type="cellIs" dxfId="1719" priority="16" operator="greaterThan">
      <formula>0</formula>
    </cfRule>
  </conditionalFormatting>
  <conditionalFormatting sqref="N36:O46">
    <cfRule type="cellIs" dxfId="1718" priority="4" operator="greaterThan">
      <formula>0</formula>
    </cfRule>
  </conditionalFormatting>
  <conditionalFormatting sqref="O14:O20">
    <cfRule type="cellIs" dxfId="1717" priority="22" operator="greaterThan">
      <formula>0</formula>
    </cfRule>
  </conditionalFormatting>
  <dataValidations count="3">
    <dataValidation type="list" allowBlank="1" showInputMessage="1" showErrorMessage="1" sqref="H34" xr:uid="{00000000-0002-0000-6900-000000000000}">
      <formula1>#REF!</formula1>
    </dataValidation>
    <dataValidation operator="greaterThan" allowBlank="1" showInputMessage="1" showErrorMessage="1" sqref="F14:F26" xr:uid="{00000000-0002-0000-6900-000001000000}"/>
    <dataValidation type="list" allowBlank="1" showInputMessage="1" showErrorMessage="1" sqref="E14:E32" xr:uid="{00000000-0002-0000-69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IF('[12]CANOPY (7)'!G3="","",'[12]CANOPY (7)'!G3)</f>
        <v>#REF!</v>
      </c>
      <c r="I2" s="975"/>
      <c r="J2" s="975"/>
      <c r="K2" s="975"/>
      <c r="L2" s="976"/>
      <c r="M2" s="483" t="s">
        <v>368</v>
      </c>
      <c r="N2" s="974" t="e">
        <f>IF('[12]CANOPY (7)'!C3="","",'[12]CANOPY (7)'!C3)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IF('[12]CANOPY (7)'!G3="","",'[12]CANOPY (7)'!G3)</f>
        <v>#REF!</v>
      </c>
      <c r="I2" s="975"/>
      <c r="J2" s="975"/>
      <c r="K2" s="975"/>
      <c r="L2" s="976"/>
      <c r="M2" s="483" t="s">
        <v>368</v>
      </c>
      <c r="N2" s="974" t="e">
        <f>IF('[12]CANOPY (7)'!C3="","",'[12]CANOPY (7)'!C3)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IF('[12]CANOPY (7)'!G3="","",'[12]CANOPY (7)'!G3)</f>
        <v>#REF!</v>
      </c>
      <c r="I2" s="975"/>
      <c r="J2" s="975"/>
      <c r="K2" s="975"/>
      <c r="L2" s="976"/>
      <c r="M2" s="483" t="s">
        <v>368</v>
      </c>
      <c r="N2" s="974" t="e">
        <f>IF('[12]CANOPY (7)'!C3="","",'[12]CANOPY (7)'!C3)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IF('[12]CANOPY (7)'!C3="","",'[12]CANOPY (7)'!C3)</f>
        <v>#REF!</v>
      </c>
      <c r="D3" s="979"/>
      <c r="E3" s="103" t="s">
        <v>4</v>
      </c>
      <c r="F3" s="935" t="e">
        <f>IF('[12]CANOPY (7)'!G3="","",'[12]CANOPY (7)'!G3)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IF('[12]CANOPY (7)'!C5="","",'[12]CANOPY (7)'!C5)</f>
        <v>#REF!</v>
      </c>
      <c r="D5" s="979"/>
      <c r="E5" s="103" t="s">
        <v>8</v>
      </c>
      <c r="F5" s="935" t="e">
        <f>IF('[12]CANOPY (7)'!G5="","",'[12]CANOPY (7)'!G5)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IF('[12]CANOPY (7)'!C7="","",'[12]CANOPY (7)'!C7)</f>
        <v>#REF!</v>
      </c>
      <c r="D7" s="979"/>
      <c r="E7" s="103" t="s">
        <v>12</v>
      </c>
      <c r="F7" s="939" t="e">
        <f>IF('[12]CANOPY (7)'!G7="","",'[12]CANOPY (7)'!G7)</f>
        <v>#REF!</v>
      </c>
      <c r="G7" s="979"/>
      <c r="H7" s="245"/>
      <c r="J7" s="240" t="s">
        <v>14</v>
      </c>
      <c r="K7" s="787" t="e">
        <f>IF('[12]CANOPY (7)'!O7="","",'[12]CANOPY (7)'!O7)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1716" priority="24">
      <formula>B9="CURRENCY"</formula>
    </cfRule>
    <cfRule type="containsText" dxfId="1715" priority="23" operator="containsText" text="SELECT">
      <formula>NOT(ISERROR(SEARCH("SELECT",B9)))</formula>
    </cfRule>
  </conditionalFormatting>
  <conditionalFormatting sqref="B13:B24">
    <cfRule type="expression" dxfId="1714" priority="6">
      <formula>$C13&gt;0</formula>
    </cfRule>
  </conditionalFormatting>
  <conditionalFormatting sqref="B25:B39">
    <cfRule type="expression" dxfId="1713" priority="5">
      <formula>$C25&gt;0</formula>
    </cfRule>
  </conditionalFormatting>
  <conditionalFormatting sqref="B40:B42">
    <cfRule type="expression" dxfId="1712" priority="4">
      <formula>$C40&gt;0</formula>
    </cfRule>
  </conditionalFormatting>
  <conditionalFormatting sqref="B43:B50">
    <cfRule type="expression" dxfId="1711" priority="1">
      <formula>$C43&gt;0</formula>
    </cfRule>
  </conditionalFormatting>
  <conditionalFormatting sqref="B51:B54">
    <cfRule type="expression" dxfId="1710" priority="3">
      <formula>$C51&gt;0</formula>
    </cfRule>
  </conditionalFormatting>
  <conditionalFormatting sqref="B57:B66">
    <cfRule type="expression" dxfId="1709" priority="2">
      <formula>$C57&gt;0</formula>
    </cfRule>
  </conditionalFormatting>
  <conditionalFormatting sqref="C13:C54">
    <cfRule type="cellIs" dxfId="1708" priority="10" operator="lessThan">
      <formula>1</formula>
    </cfRule>
  </conditionalFormatting>
  <conditionalFormatting sqref="C57:C66">
    <cfRule type="cellIs" dxfId="1707" priority="26" operator="equal">
      <formula>0</formula>
    </cfRule>
  </conditionalFormatting>
  <conditionalFormatting sqref="C9:D9">
    <cfRule type="cellIs" dxfId="1706" priority="20" operator="lessThan">
      <formula>0</formula>
    </cfRule>
    <cfRule type="cellIs" dxfId="1705" priority="21" operator="greaterThan">
      <formula>0</formula>
    </cfRule>
  </conditionalFormatting>
  <conditionalFormatting sqref="F13:F54">
    <cfRule type="expression" dxfId="1704" priority="9">
      <formula>C13&gt;0</formula>
    </cfRule>
  </conditionalFormatting>
  <conditionalFormatting sqref="F57:F66">
    <cfRule type="expression" dxfId="1703" priority="19">
      <formula>C57&gt;0</formula>
    </cfRule>
  </conditionalFormatting>
  <conditionalFormatting sqref="F58:F66">
    <cfRule type="expression" dxfId="1702" priority="25">
      <formula>C58&lt;1</formula>
    </cfRule>
  </conditionalFormatting>
  <conditionalFormatting sqref="G13:G54">
    <cfRule type="cellIs" dxfId="1701" priority="8" operator="greaterThan">
      <formula>0</formula>
    </cfRule>
  </conditionalFormatting>
  <conditionalFormatting sqref="G57:G66">
    <cfRule type="cellIs" dxfId="1700" priority="18" operator="greaterThan">
      <formula>0</formula>
    </cfRule>
  </conditionalFormatting>
  <conditionalFormatting sqref="H13:H54">
    <cfRule type="expression" dxfId="1699" priority="15">
      <formula>$C$9&gt;0</formula>
    </cfRule>
    <cfRule type="expression" dxfId="1698" priority="16">
      <formula>$C$9&lt;0</formula>
    </cfRule>
  </conditionalFormatting>
  <conditionalFormatting sqref="H57:H66">
    <cfRule type="expression" dxfId="1697" priority="32">
      <formula>$C$9&lt;0</formula>
    </cfRule>
    <cfRule type="expression" dxfId="1696" priority="31">
      <formula>$C$9&gt;0</formula>
    </cfRule>
  </conditionalFormatting>
  <conditionalFormatting sqref="J2:J6 J75:J1048576">
    <cfRule type="expression" dxfId="1695" priority="27">
      <formula>$B$9="EURO"</formula>
    </cfRule>
  </conditionalFormatting>
  <conditionalFormatting sqref="J8:J67">
    <cfRule type="expression" dxfId="1694" priority="11">
      <formula>$B$9="EURO"</formula>
    </cfRule>
  </conditionalFormatting>
  <conditionalFormatting sqref="J9 J56:J66">
    <cfRule type="expression" dxfId="1693" priority="28">
      <formula>$B$9="USD"</formula>
    </cfRule>
    <cfRule type="expression" dxfId="1692" priority="29">
      <formula>$B$9="PLN"</formula>
    </cfRule>
    <cfRule type="expression" dxfId="1691" priority="30">
      <formula>$B$9="CZK"</formula>
    </cfRule>
  </conditionalFormatting>
  <conditionalFormatting sqref="J12:J54">
    <cfRule type="expression" dxfId="1690" priority="14">
      <formula>$B$9="CZK"</formula>
    </cfRule>
    <cfRule type="expression" dxfId="1689" priority="13">
      <formula>$B$9="PLN"</formula>
    </cfRule>
    <cfRule type="expression" dxfId="1688" priority="12">
      <formula>$B$9="USD"</formula>
    </cfRule>
  </conditionalFormatting>
  <conditionalFormatting sqref="J68:J74">
    <cfRule type="expression" dxfId="1687" priority="22">
      <formula>$F$10="EURO"</formula>
    </cfRule>
  </conditionalFormatting>
  <conditionalFormatting sqref="J13:K54">
    <cfRule type="cellIs" dxfId="1686" priority="7" operator="greaterThan">
      <formula>0</formula>
    </cfRule>
  </conditionalFormatting>
  <conditionalFormatting sqref="J57:K66">
    <cfRule type="cellIs" dxfId="1685" priority="17" operator="greaterThan">
      <formula>0</formula>
    </cfRule>
  </conditionalFormatting>
  <dataValidations count="1">
    <dataValidation type="list" allowBlank="1" showInputMessage="1" showErrorMessage="1" sqref="D55" xr:uid="{00000000-0002-0000-6D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IF('[12]CANOPY (7)'!C3="","",'[12]CANOPY (7)'!C3)</f>
        <v>#REF!</v>
      </c>
      <c r="D3" s="979"/>
      <c r="E3" s="103" t="s">
        <v>4</v>
      </c>
      <c r="F3" s="935" t="e">
        <f>IF('[12]CANOPY (7)'!G3="","",'[12]CANOPY (7)'!G3)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IF('[12]CANOPY (7)'!C5="","",'[12]CANOPY (7)'!C5)</f>
        <v>#REF!</v>
      </c>
      <c r="D5" s="979"/>
      <c r="E5" s="103" t="s">
        <v>8</v>
      </c>
      <c r="F5" s="935" t="e">
        <f>IF('[12]CANOPY (7)'!G5="","",'[12]CANOPY (7)'!G5)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IF('[12]CANOPY (7)'!C7="","",'[12]CANOPY (7)'!C7)</f>
        <v>#REF!</v>
      </c>
      <c r="D7" s="979"/>
      <c r="E7" s="103" t="s">
        <v>12</v>
      </c>
      <c r="F7" s="939" t="e">
        <f>IF('[12]CANOPY (7)'!G7="","",'[12]CANOPY (7)'!G7)</f>
        <v>#REF!</v>
      </c>
      <c r="G7" s="979"/>
      <c r="H7" s="245"/>
      <c r="J7" s="240" t="s">
        <v>14</v>
      </c>
      <c r="K7" s="787" t="e">
        <f>IF('[12]CANOPY (7)'!O7="","",'[12]CANOPY (7)'!O7)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1684" priority="27">
      <formula>B9="CURRENCY"</formula>
    </cfRule>
    <cfRule type="containsText" dxfId="1683" priority="26" operator="containsText" text="SELECT">
      <formula>NOT(ISERROR(SEARCH("SELECT",B9)))</formula>
    </cfRule>
  </conditionalFormatting>
  <conditionalFormatting sqref="B13:B24">
    <cfRule type="expression" dxfId="1682" priority="4">
      <formula>$C13&gt;0</formula>
    </cfRule>
  </conditionalFormatting>
  <conditionalFormatting sqref="B25:B39">
    <cfRule type="expression" dxfId="1681" priority="3">
      <formula>$C25&gt;0</formula>
    </cfRule>
  </conditionalFormatting>
  <conditionalFormatting sqref="B40:B54">
    <cfRule type="expression" dxfId="1680" priority="2">
      <formula>$C40&gt;0</formula>
    </cfRule>
  </conditionalFormatting>
  <conditionalFormatting sqref="B57:B66">
    <cfRule type="expression" dxfId="1679" priority="1">
      <formula>$C57&gt;0</formula>
    </cfRule>
  </conditionalFormatting>
  <conditionalFormatting sqref="C13:C54">
    <cfRule type="cellIs" dxfId="1678" priority="13" operator="lessThan">
      <formula>1</formula>
    </cfRule>
  </conditionalFormatting>
  <conditionalFormatting sqref="C57:C66">
    <cfRule type="cellIs" dxfId="1677" priority="29" operator="equal">
      <formula>0</formula>
    </cfRule>
  </conditionalFormatting>
  <conditionalFormatting sqref="C9:D9">
    <cfRule type="cellIs" dxfId="1676" priority="24" operator="greaterThan">
      <formula>0</formula>
    </cfRule>
    <cfRule type="cellIs" dxfId="1675" priority="23" operator="lessThan">
      <formula>0</formula>
    </cfRule>
  </conditionalFormatting>
  <conditionalFormatting sqref="F13:F54">
    <cfRule type="expression" dxfId="1674" priority="12">
      <formula>C13&gt;0</formula>
    </cfRule>
  </conditionalFormatting>
  <conditionalFormatting sqref="F57:F66">
    <cfRule type="expression" dxfId="1673" priority="22">
      <formula>C57&gt;0</formula>
    </cfRule>
  </conditionalFormatting>
  <conditionalFormatting sqref="F58:F66">
    <cfRule type="expression" dxfId="1672" priority="28">
      <formula>C58&lt;1</formula>
    </cfRule>
  </conditionalFormatting>
  <conditionalFormatting sqref="G13:G54">
    <cfRule type="cellIs" dxfId="1671" priority="11" operator="greaterThan">
      <formula>0</formula>
    </cfRule>
  </conditionalFormatting>
  <conditionalFormatting sqref="G57:G66">
    <cfRule type="cellIs" dxfId="1670" priority="21" operator="greaterThan">
      <formula>0</formula>
    </cfRule>
  </conditionalFormatting>
  <conditionalFormatting sqref="H13:H54">
    <cfRule type="expression" dxfId="1669" priority="18">
      <formula>$C$9&gt;0</formula>
    </cfRule>
    <cfRule type="expression" dxfId="1668" priority="19">
      <formula>$C$9&lt;0</formula>
    </cfRule>
  </conditionalFormatting>
  <conditionalFormatting sqref="H57:H66">
    <cfRule type="expression" dxfId="1667" priority="34">
      <formula>$C$9&gt;0</formula>
    </cfRule>
    <cfRule type="expression" dxfId="1666" priority="35">
      <formula>$C$9&lt;0</formula>
    </cfRule>
  </conditionalFormatting>
  <conditionalFormatting sqref="J2:J6 J75:J1048576">
    <cfRule type="expression" dxfId="1665" priority="30">
      <formula>$B$9="EURO"</formula>
    </cfRule>
  </conditionalFormatting>
  <conditionalFormatting sqref="J8:J67">
    <cfRule type="expression" dxfId="1664" priority="14">
      <formula>$B$9="EURO"</formula>
    </cfRule>
  </conditionalFormatting>
  <conditionalFormatting sqref="J9 J56:J66">
    <cfRule type="expression" dxfId="1663" priority="31">
      <formula>$B$9="USD"</formula>
    </cfRule>
    <cfRule type="expression" dxfId="1662" priority="32">
      <formula>$B$9="PLN"</formula>
    </cfRule>
    <cfRule type="expression" dxfId="1661" priority="33">
      <formula>$B$9="CZK"</formula>
    </cfRule>
  </conditionalFormatting>
  <conditionalFormatting sqref="J12:J54">
    <cfRule type="expression" dxfId="1660" priority="17">
      <formula>$B$9="CZK"</formula>
    </cfRule>
    <cfRule type="expression" dxfId="1659" priority="16">
      <formula>$B$9="PLN"</formula>
    </cfRule>
    <cfRule type="expression" dxfId="1658" priority="15">
      <formula>$B$9="USD"</formula>
    </cfRule>
  </conditionalFormatting>
  <conditionalFormatting sqref="J68:J74">
    <cfRule type="expression" dxfId="1657" priority="25">
      <formula>$F$10="EURO"</formula>
    </cfRule>
  </conditionalFormatting>
  <conditionalFormatting sqref="J13:K54">
    <cfRule type="cellIs" dxfId="1656" priority="10" operator="greaterThan">
      <formula>0</formula>
    </cfRule>
  </conditionalFormatting>
  <conditionalFormatting sqref="J57:K66">
    <cfRule type="cellIs" dxfId="1655" priority="20" operator="greaterThan">
      <formula>0</formula>
    </cfRule>
  </conditionalFormatting>
  <conditionalFormatting sqref="M12:P54">
    <cfRule type="expression" dxfId="1654" priority="9">
      <formula>$B$9="CZK"</formula>
    </cfRule>
    <cfRule type="expression" dxfId="1653" priority="8">
      <formula>$B$9="PLN"</formula>
    </cfRule>
    <cfRule type="expression" dxfId="1652" priority="7">
      <formula>$B$9="USD"</formula>
    </cfRule>
    <cfRule type="expression" dxfId="1651" priority="6">
      <formula>$B$9="EURO"</formula>
    </cfRule>
  </conditionalFormatting>
  <conditionalFormatting sqref="M13:P54">
    <cfRule type="cellIs" dxfId="1650" priority="5" operator="greaterThan">
      <formula>0</formula>
    </cfRule>
  </conditionalFormatting>
  <dataValidations count="3">
    <dataValidation type="list" allowBlank="1" showInputMessage="1" showErrorMessage="1" sqref="D13" xr:uid="{00000000-0002-0000-6E00-000000000000}">
      <formula1>FanSize</formula1>
    </dataValidation>
    <dataValidation type="list" allowBlank="1" showInputMessage="1" showErrorMessage="1" sqref="D55" xr:uid="{00000000-0002-0000-6E00-000001000000}">
      <formula1>$B$3:$B$15</formula1>
    </dataValidation>
    <dataValidation type="list" allowBlank="1" showInputMessage="1" showErrorMessage="1" sqref="D26" xr:uid="{00000000-0002-0000-6E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IF('[12]CANOPY (7)'!C3="","",'[12]CANOPY (7)'!C3)</f>
        <v>#REF!</v>
      </c>
      <c r="D3" s="979"/>
      <c r="E3" s="122" t="s">
        <v>4</v>
      </c>
      <c r="F3" s="987" t="e">
        <f>IF('[12]CANOPY (7)'!G3="","",'[12]CANOPY (7)'!G3)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IF('[12]CANOPY (7)'!C5="","",'[12]CANOPY (7)'!C5)</f>
        <v>#REF!</v>
      </c>
      <c r="D5" s="979"/>
      <c r="E5" s="122" t="s">
        <v>8</v>
      </c>
      <c r="F5" s="987" t="e">
        <f>IF('[12]CANOPY (7)'!G5="","",'[12]CANOPY (7)'!G5)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IF('[12]CANOPY (7)'!C7="","",'[12]CANOPY (7)'!C7)</f>
        <v>#REF!</v>
      </c>
      <c r="D7" s="979"/>
      <c r="E7" s="122" t="s">
        <v>12</v>
      </c>
      <c r="F7" s="989" t="e">
        <f>IF('[12]CANOPY (7)'!G7="","",'[12]CANOPY (7)'!G7)</f>
        <v>#REF!</v>
      </c>
      <c r="G7" s="979"/>
      <c r="H7" s="979"/>
      <c r="J7" s="197" t="s">
        <v>14</v>
      </c>
      <c r="K7" s="484" t="e">
        <f>IF('[12]CANOPY (7)'!O7="","",'[12]CANOPY (7)'!O7)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649" priority="8" operator="containsText" text="SELECT">
      <formula>NOT(ISERROR(SEARCH("SELECT",B10)))</formula>
    </cfRule>
    <cfRule type="expression" dxfId="1648" priority="9">
      <formula>B10="CURRENCY"</formula>
    </cfRule>
  </conditionalFormatting>
  <conditionalFormatting sqref="B14:B41">
    <cfRule type="expression" dxfId="1647" priority="2">
      <formula>$C14&gt;0</formula>
    </cfRule>
  </conditionalFormatting>
  <conditionalFormatting sqref="B44:B55">
    <cfRule type="expression" dxfId="1646" priority="1">
      <formula>$C44&gt;0</formula>
    </cfRule>
  </conditionalFormatting>
  <conditionalFormatting sqref="C14:C41 C44:C55">
    <cfRule type="cellIs" dxfId="1645" priority="12" operator="equal">
      <formula>0</formula>
    </cfRule>
  </conditionalFormatting>
  <conditionalFormatting sqref="C10:D10">
    <cfRule type="cellIs" dxfId="1644" priority="6" operator="lessThan">
      <formula>0</formula>
    </cfRule>
    <cfRule type="cellIs" dxfId="1643" priority="7" operator="greaterThan">
      <formula>0</formula>
    </cfRule>
  </conditionalFormatting>
  <conditionalFormatting sqref="E12:E13">
    <cfRule type="cellIs" dxfId="1642" priority="10" operator="greaterThan">
      <formula>0</formula>
    </cfRule>
    <cfRule type="cellIs" dxfId="1641" priority="11" operator="lessThan">
      <formula>0</formula>
    </cfRule>
  </conditionalFormatting>
  <conditionalFormatting sqref="F14:F41 F44:F55">
    <cfRule type="expression" dxfId="1640" priority="5">
      <formula>C14&gt;0</formula>
    </cfRule>
  </conditionalFormatting>
  <conditionalFormatting sqref="G14:G41 G44:G55">
    <cfRule type="cellIs" dxfId="1639" priority="4" operator="greaterThan">
      <formula>0</formula>
    </cfRule>
  </conditionalFormatting>
  <conditionalFormatting sqref="H14:H41 H44:H55">
    <cfRule type="expression" dxfId="1638" priority="17">
      <formula>$C$10&lt;0</formula>
    </cfRule>
    <cfRule type="expression" dxfId="1637" priority="18">
      <formula>$C$10&gt;0</formula>
    </cfRule>
  </conditionalFormatting>
  <conditionalFormatting sqref="J1:J6 J8:J11 J13:J1048576">
    <cfRule type="expression" dxfId="1636" priority="13">
      <formula>$B$10="EURO"</formula>
    </cfRule>
  </conditionalFormatting>
  <conditionalFormatting sqref="J10 J13:J41 J43:J55">
    <cfRule type="expression" dxfId="1635" priority="14">
      <formula>$B$10="PLN"</formula>
    </cfRule>
    <cfRule type="expression" dxfId="1634" priority="15">
      <formula>$B$10="CZK"</formula>
    </cfRule>
    <cfRule type="expression" dxfId="1633" priority="16">
      <formula>$B$10="USD"</formula>
    </cfRule>
  </conditionalFormatting>
  <conditionalFormatting sqref="J14:K41 J44:K56">
    <cfRule type="cellIs" dxfId="1632" priority="3" operator="greaterThan">
      <formula>0</formula>
    </cfRule>
  </conditionalFormatting>
  <dataValidations count="1">
    <dataValidation type="list" allowBlank="1" showInputMessage="1" showErrorMessage="1" sqref="F12:F13" xr:uid="{00000000-0002-0000-6F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IF('[12]CANOPY (7)'!C3="","",'[12]CANOPY (7)'!C3)</f>
        <v>#REF!</v>
      </c>
      <c r="D3" s="990"/>
      <c r="E3" s="129"/>
      <c r="F3" s="132" t="s">
        <v>4</v>
      </c>
      <c r="G3" s="938" t="e">
        <f>IF('[12]CANOPY (7)'!G3="","",'[12]CANOPY (7)'!G3)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IF('[12]CANOPY (7)'!C5="","",'[12]CANOPY (7)'!C5)</f>
        <v>#REF!</v>
      </c>
      <c r="D5" s="990"/>
      <c r="E5" s="131"/>
      <c r="F5" s="132" t="s">
        <v>8</v>
      </c>
      <c r="G5" s="938" t="e">
        <f>IF('[12]CANOPY (7)'!G5="","",'[12]CANOPY (7)'!G5)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IF('[12]CANOPY (7)'!C7="","",'[12]CANOPY (7)'!C7)</f>
        <v>#REF!</v>
      </c>
      <c r="D7" s="990"/>
      <c r="E7" s="135"/>
      <c r="F7" s="136" t="s">
        <v>12</v>
      </c>
      <c r="G7" s="939" t="e">
        <f>IF('[12]CANOPY (7)'!G7="","",'[12]CANOPY (7)'!G7)</f>
        <v>#REF!</v>
      </c>
      <c r="H7" s="990"/>
      <c r="I7" s="51"/>
      <c r="J7" s="280"/>
      <c r="K7" s="280" t="s">
        <v>14</v>
      </c>
      <c r="L7" s="484" t="e">
        <f>IF('[12]CANOPY (7)'!O7="","",'[12]CANOPY (7)'!O7)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1631" priority="26">
      <formula>B9="CURRENCY"</formula>
    </cfRule>
    <cfRule type="containsText" dxfId="1630" priority="25" operator="containsText" text="SELECT">
      <formula>NOT(ISERROR(SEARCH("SELECT",B9)))</formula>
    </cfRule>
  </conditionalFormatting>
  <conditionalFormatting sqref="B15:B29">
    <cfRule type="expression" dxfId="1629" priority="9">
      <formula>$D15&gt;0</formula>
    </cfRule>
  </conditionalFormatting>
  <conditionalFormatting sqref="B49 E49:F49">
    <cfRule type="expression" dxfId="1628" priority="49">
      <formula>C40="select controls"</formula>
    </cfRule>
  </conditionalFormatting>
  <conditionalFormatting sqref="C13">
    <cfRule type="containsText" dxfId="1627" priority="29" operator="containsText" text="SELECT">
      <formula>NOT(ISERROR(SEARCH("SELECT",C13)))</formula>
    </cfRule>
  </conditionalFormatting>
  <conditionalFormatting sqref="C15:C22">
    <cfRule type="containsText" dxfId="1626" priority="15" operator="containsText" text="SIZE">
      <formula>NOT(ISERROR(SEARCH("SIZE",C15)))</formula>
    </cfRule>
  </conditionalFormatting>
  <conditionalFormatting sqref="C25">
    <cfRule type="containsText" dxfId="1625" priority="37" operator="containsText" text="SELECT CONTROLS">
      <formula>NOT(ISERROR(SEARCH("SELECT CONTROLS",C25)))</formula>
    </cfRule>
  </conditionalFormatting>
  <conditionalFormatting sqref="C26">
    <cfRule type="expression" dxfId="1624" priority="32">
      <formula>$C$25="SMARTEC"</formula>
    </cfRule>
    <cfRule type="containsText" dxfId="1623" priority="31" operator="containsText" text="st/st">
      <formula>NOT(ISERROR(SEARCH("st/st",C26)))</formula>
    </cfRule>
  </conditionalFormatting>
  <conditionalFormatting sqref="C31:C32">
    <cfRule type="cellIs" dxfId="1622" priority="20" operator="greaterThan">
      <formula>0</formula>
    </cfRule>
  </conditionalFormatting>
  <conditionalFormatting sqref="C52:C61">
    <cfRule type="cellIs" dxfId="1621" priority="28" operator="lessThan">
      <formula>1</formula>
    </cfRule>
  </conditionalFormatting>
  <conditionalFormatting sqref="C9:D9">
    <cfRule type="cellIs" dxfId="1620" priority="23" operator="lessThan">
      <formula>0</formula>
    </cfRule>
    <cfRule type="cellIs" dxfId="1619" priority="24" operator="greaterThan">
      <formula>0</formula>
    </cfRule>
  </conditionalFormatting>
  <conditionalFormatting sqref="C29:D29">
    <cfRule type="expression" dxfId="1618" priority="36">
      <formula>$C$25="REMOTE TOUCH SCREEN"</formula>
    </cfRule>
    <cfRule type="expression" dxfId="1617" priority="35">
      <formula>$C$25="SMARTEC"</formula>
    </cfRule>
  </conditionalFormatting>
  <conditionalFormatting sqref="D26">
    <cfRule type="expression" dxfId="1616" priority="33">
      <formula>C25="SMARTEC"</formula>
    </cfRule>
    <cfRule type="expression" dxfId="1615" priority="30">
      <formula>C26="st/st enclosure"</formula>
    </cfRule>
  </conditionalFormatting>
  <conditionalFormatting sqref="D29">
    <cfRule type="expression" dxfId="1614" priority="34">
      <formula>$C$25="SMARTEC"</formula>
    </cfRule>
  </conditionalFormatting>
  <conditionalFormatting sqref="D38">
    <cfRule type="expression" dxfId="1613" priority="48">
      <formula>#REF!="SMARTEC"</formula>
    </cfRule>
    <cfRule type="expression" dxfId="1612" priority="47">
      <formula>C38="st/st enclosure"</formula>
    </cfRule>
  </conditionalFormatting>
  <conditionalFormatting sqref="E39:E43">
    <cfRule type="expression" dxfId="1611" priority="46">
      <formula>#REF!="select controls"</formula>
    </cfRule>
  </conditionalFormatting>
  <conditionalFormatting sqref="E44:F45 B45:B48 E46:E47 E48:F48">
    <cfRule type="expression" dxfId="1610" priority="27">
      <formula>C38="select controls"</formula>
    </cfRule>
  </conditionalFormatting>
  <conditionalFormatting sqref="F40">
    <cfRule type="expression" dxfId="1609" priority="1">
      <formula>G34="select controls"</formula>
    </cfRule>
  </conditionalFormatting>
  <conditionalFormatting sqref="G15:G36">
    <cfRule type="cellIs" dxfId="1608" priority="2" operator="greaterThan">
      <formula>0</formula>
    </cfRule>
  </conditionalFormatting>
  <conditionalFormatting sqref="G38:G49">
    <cfRule type="cellIs" dxfId="1607" priority="18" operator="greaterThan">
      <formula>0</formula>
    </cfRule>
  </conditionalFormatting>
  <conditionalFormatting sqref="G52:G61">
    <cfRule type="expression" dxfId="1606" priority="8">
      <formula>C52&gt;0</formula>
    </cfRule>
  </conditionalFormatting>
  <conditionalFormatting sqref="H13 J13 L13">
    <cfRule type="expression" dxfId="1605" priority="38">
      <formula>$B$9="EURO"</formula>
    </cfRule>
  </conditionalFormatting>
  <conditionalFormatting sqref="H15:H61">
    <cfRule type="cellIs" dxfId="1604" priority="19" operator="greaterThan">
      <formula>0</formula>
    </cfRule>
  </conditionalFormatting>
  <conditionalFormatting sqref="I15:I36 I38:I49 I52:I61">
    <cfRule type="expression" dxfId="1603" priority="44">
      <formula>$C$9&lt;0</formula>
    </cfRule>
    <cfRule type="expression" dxfId="1602" priority="43">
      <formula>$C$9&gt;0</formula>
    </cfRule>
  </conditionalFormatting>
  <conditionalFormatting sqref="J37">
    <cfRule type="expression" dxfId="1601" priority="42">
      <formula>$B$9="EURO"</formula>
    </cfRule>
    <cfRule type="expression" dxfId="1600" priority="41">
      <formula>$B$9="USD"</formula>
    </cfRule>
    <cfRule type="expression" dxfId="1599" priority="40">
      <formula>$B$9="CZK"</formula>
    </cfRule>
    <cfRule type="expression" dxfId="1598" priority="39">
      <formula>$B$9="PLN"</formula>
    </cfRule>
  </conditionalFormatting>
  <conditionalFormatting sqref="J63:J69">
    <cfRule type="expression" dxfId="1597" priority="45">
      <formula>#REF!="EURO"</formula>
    </cfRule>
  </conditionalFormatting>
  <conditionalFormatting sqref="K1:K36">
    <cfRule type="expression" dxfId="1596" priority="5">
      <formula>$B$9="USD"</formula>
    </cfRule>
    <cfRule type="expression" dxfId="1595" priority="4">
      <formula>$B$9="EURO"</formula>
    </cfRule>
    <cfRule type="expression" dxfId="1594" priority="6">
      <formula>$B$9="PLN"</formula>
    </cfRule>
  </conditionalFormatting>
  <conditionalFormatting sqref="K1:K1048576">
    <cfRule type="expression" dxfId="1593" priority="7">
      <formula>$B$9="CZK"</formula>
    </cfRule>
  </conditionalFormatting>
  <conditionalFormatting sqref="K15:K36">
    <cfRule type="cellIs" dxfId="1592" priority="3" operator="greaterThan">
      <formula>0</formula>
    </cfRule>
  </conditionalFormatting>
  <conditionalFormatting sqref="K38:K49">
    <cfRule type="cellIs" dxfId="1591" priority="14" operator="greaterThan">
      <formula>0</formula>
    </cfRule>
  </conditionalFormatting>
  <conditionalFormatting sqref="K38:K1048576">
    <cfRule type="expression" dxfId="1590" priority="11">
      <formula>$B$9="EURO"</formula>
    </cfRule>
    <cfRule type="expression" dxfId="1589" priority="12">
      <formula>$B$9="USD"</formula>
    </cfRule>
    <cfRule type="expression" dxfId="1588" priority="13">
      <formula>$B$9="PLN"</formula>
    </cfRule>
  </conditionalFormatting>
  <conditionalFormatting sqref="K50">
    <cfRule type="cellIs" dxfId="1587" priority="22" operator="greaterThan">
      <formula>0</formula>
    </cfRule>
  </conditionalFormatting>
  <conditionalFormatting sqref="K52:K61">
    <cfRule type="cellIs" dxfId="1586" priority="10" operator="greaterThan">
      <formula>0</formula>
    </cfRule>
  </conditionalFormatting>
  <conditionalFormatting sqref="L15:L36 L52:L61">
    <cfRule type="cellIs" dxfId="1585" priority="21" operator="greaterThan">
      <formula>0</formula>
    </cfRule>
  </conditionalFormatting>
  <conditionalFormatting sqref="L38:L49">
    <cfRule type="cellIs" dxfId="1584" priority="17" operator="greaterThan">
      <formula>0</formula>
    </cfRule>
  </conditionalFormatting>
  <conditionalFormatting sqref="U40">
    <cfRule type="cellIs" dxfId="1583"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7000-000000000000}">
      <formula1>#REF!</formula1>
    </dataValidation>
    <dataValidation type="list" allowBlank="1" showInputMessage="1" showErrorMessage="1" sqref="C13" xr:uid="{00000000-0002-0000-7000-000001000000}">
      <formula1>"SELECT MODEL,INTERNAL,EXTERNAL"</formula1>
    </dataValidation>
    <dataValidation type="list" allowBlank="1" showInputMessage="1" showErrorMessage="1" sqref="C25" xr:uid="{00000000-0002-0000-70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IF('[12]CANOPY (7)'!C3="","",'[12]CANOPY (7)'!C3)</f>
        <v>#REF!</v>
      </c>
      <c r="D3" s="990"/>
      <c r="E3" s="129"/>
      <c r="F3" s="132" t="s">
        <v>4</v>
      </c>
      <c r="G3" s="938" t="e">
        <f>IF('[12]CANOPY (7)'!G3="","",'[12]CANOPY (7)'!G3)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IF('[12]CANOPY (7)'!C5="","",'[12]CANOPY (7)'!C5)</f>
        <v>#REF!</v>
      </c>
      <c r="D5" s="990"/>
      <c r="E5" s="131"/>
      <c r="F5" s="132" t="s">
        <v>8</v>
      </c>
      <c r="G5" s="938" t="e">
        <f>IF('[12]CANOPY (7)'!G5="","",'[12]CANOPY (7)'!G5)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IF('[12]CANOPY (7)'!C7="","",'[12]CANOPY (7)'!C7)</f>
        <v>#REF!</v>
      </c>
      <c r="D7" s="990"/>
      <c r="E7" s="135"/>
      <c r="F7" s="136" t="s">
        <v>12</v>
      </c>
      <c r="G7" s="939" t="e">
        <f>IF('[12]CANOPY (7)'!G7="","",'[12]CANOPY (7)'!G7)</f>
        <v>#REF!</v>
      </c>
      <c r="H7" s="990"/>
      <c r="I7" s="51"/>
      <c r="J7" s="280"/>
      <c r="K7" s="280" t="s">
        <v>14</v>
      </c>
      <c r="L7" s="484" t="e">
        <f>IF('[12]CANOPY (7)'!O7="","",'[12]CANOPY (7)'!O7)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1582" priority="30">
      <formula>B9="CURRENCY"</formula>
    </cfRule>
    <cfRule type="containsText" dxfId="1581" priority="29" operator="containsText" text="SELECT">
      <formula>NOT(ISERROR(SEARCH("SELECT",B9)))</formula>
    </cfRule>
  </conditionalFormatting>
  <conditionalFormatting sqref="B15:B30">
    <cfRule type="expression" dxfId="1580" priority="2">
      <formula>$D15&gt;0</formula>
    </cfRule>
  </conditionalFormatting>
  <conditionalFormatting sqref="B50 E50:F50">
    <cfRule type="expression" dxfId="1579" priority="53">
      <formula>C41="select controls"</formula>
    </cfRule>
  </conditionalFormatting>
  <conditionalFormatting sqref="C13">
    <cfRule type="containsText" dxfId="1578" priority="33" operator="containsText" text="SELECT">
      <formula>NOT(ISERROR(SEARCH("SELECT",C13)))</formula>
    </cfRule>
  </conditionalFormatting>
  <conditionalFormatting sqref="C15:C23">
    <cfRule type="containsText" dxfId="1577" priority="8" operator="containsText" text="SIZE">
      <formula>NOT(ISERROR(SEARCH("SIZE",C15)))</formula>
    </cfRule>
  </conditionalFormatting>
  <conditionalFormatting sqref="C26">
    <cfRule type="containsText" dxfId="1576" priority="41" operator="containsText" text="SELECT CONTROLS">
      <formula>NOT(ISERROR(SEARCH("SELECT CONTROLS",C26)))</formula>
    </cfRule>
  </conditionalFormatting>
  <conditionalFormatting sqref="C27">
    <cfRule type="expression" dxfId="1575" priority="36">
      <formula>$C$26="SMARTEC"</formula>
    </cfRule>
    <cfRule type="containsText" dxfId="1574" priority="35" operator="containsText" text="st/st">
      <formula>NOT(ISERROR(SEARCH("st/st",C27)))</formula>
    </cfRule>
  </conditionalFormatting>
  <conditionalFormatting sqref="C32:C33">
    <cfRule type="cellIs" dxfId="1573" priority="24" operator="greaterThan">
      <formula>0</formula>
    </cfRule>
  </conditionalFormatting>
  <conditionalFormatting sqref="C53:C62">
    <cfRule type="cellIs" dxfId="1572" priority="32" operator="lessThan">
      <formula>1</formula>
    </cfRule>
  </conditionalFormatting>
  <conditionalFormatting sqref="C9:D9">
    <cfRule type="cellIs" dxfId="1571" priority="27" operator="lessThan">
      <formula>0</formula>
    </cfRule>
    <cfRule type="cellIs" dxfId="1570" priority="28" operator="greaterThan">
      <formula>0</formula>
    </cfRule>
  </conditionalFormatting>
  <conditionalFormatting sqref="C30:D30">
    <cfRule type="expression" dxfId="1569" priority="40">
      <formula>$C$26="REMOTE TOUCH SCREEN"</formula>
    </cfRule>
    <cfRule type="expression" dxfId="1568" priority="39">
      <formula>$C$26="SMARTEC"</formula>
    </cfRule>
  </conditionalFormatting>
  <conditionalFormatting sqref="D27">
    <cfRule type="expression" dxfId="1567" priority="37">
      <formula>C26="SMARTEC"</formula>
    </cfRule>
    <cfRule type="expression" dxfId="1566" priority="34">
      <formula>C27="st/st enclosure"</formula>
    </cfRule>
  </conditionalFormatting>
  <conditionalFormatting sqref="D30">
    <cfRule type="expression" dxfId="1565" priority="38">
      <formula>$C$26="SMARTEC"</formula>
    </cfRule>
  </conditionalFormatting>
  <conditionalFormatting sqref="D39">
    <cfRule type="expression" dxfId="1564" priority="52">
      <formula>#REF!="SMARTEC"</formula>
    </cfRule>
    <cfRule type="expression" dxfId="1563" priority="51">
      <formula>C39="st/st enclosure"</formula>
    </cfRule>
  </conditionalFormatting>
  <conditionalFormatting sqref="E40:E44">
    <cfRule type="expression" dxfId="1562" priority="50">
      <formula>#REF!="select controls"</formula>
    </cfRule>
  </conditionalFormatting>
  <conditionalFormatting sqref="E45 E46:F46 B46:B47 E47:E48 B49 E49:F49">
    <cfRule type="expression" dxfId="1561" priority="31">
      <formula>C39="select controls"</formula>
    </cfRule>
  </conditionalFormatting>
  <conditionalFormatting sqref="F41:F45">
    <cfRule type="expression" dxfId="1560" priority="1">
      <formula>G35="select controls"</formula>
    </cfRule>
  </conditionalFormatting>
  <conditionalFormatting sqref="G15:G37">
    <cfRule type="cellIs" dxfId="1559" priority="9" operator="greaterThan">
      <formula>0</formula>
    </cfRule>
  </conditionalFormatting>
  <conditionalFormatting sqref="G39:G50">
    <cfRule type="cellIs" dxfId="1558" priority="14" operator="greaterThan">
      <formula>0</formula>
    </cfRule>
  </conditionalFormatting>
  <conditionalFormatting sqref="G53:G62">
    <cfRule type="expression" dxfId="1557" priority="15">
      <formula>C53&gt;0</formula>
    </cfRule>
  </conditionalFormatting>
  <conditionalFormatting sqref="H13 J13 L13">
    <cfRule type="expression" dxfId="1556" priority="42">
      <formula>$B$9="EURO"</formula>
    </cfRule>
  </conditionalFormatting>
  <conditionalFormatting sqref="H23">
    <cfRule type="cellIs" dxfId="1555" priority="11" operator="greaterThan">
      <formula>0</formula>
    </cfRule>
  </conditionalFormatting>
  <conditionalFormatting sqref="H25:H62">
    <cfRule type="cellIs" dxfId="1554" priority="23" operator="greaterThan">
      <formula>0</formula>
    </cfRule>
  </conditionalFormatting>
  <conditionalFormatting sqref="H15:L22 L53:L62">
    <cfRule type="cellIs" dxfId="1553" priority="25" operator="greaterThan">
      <formula>0</formula>
    </cfRule>
  </conditionalFormatting>
  <conditionalFormatting sqref="I15:I37">
    <cfRule type="expression" dxfId="1552" priority="12">
      <formula>$C$9&gt;0</formula>
    </cfRule>
  </conditionalFormatting>
  <conditionalFormatting sqref="I23:I37">
    <cfRule type="expression" dxfId="1551" priority="13">
      <formula>$C$9&lt;0</formula>
    </cfRule>
  </conditionalFormatting>
  <conditionalFormatting sqref="I39:I50 I53:I62 I15:I22">
    <cfRule type="expression" dxfId="1550" priority="48">
      <formula>$C$9&lt;0</formula>
    </cfRule>
  </conditionalFormatting>
  <conditionalFormatting sqref="I39:I50 I53:I62">
    <cfRule type="expression" dxfId="1549" priority="47">
      <formula>$C$9&gt;0</formula>
    </cfRule>
  </conditionalFormatting>
  <conditionalFormatting sqref="J38">
    <cfRule type="expression" dxfId="1548" priority="43">
      <formula>$B$9="PLN"</formula>
    </cfRule>
    <cfRule type="expression" dxfId="1547" priority="44">
      <formula>$B$9="CZK"</formula>
    </cfRule>
    <cfRule type="expression" dxfId="1546" priority="45">
      <formula>$B$9="USD"</formula>
    </cfRule>
    <cfRule type="expression" dxfId="1545" priority="46">
      <formula>$B$9="EURO"</formula>
    </cfRule>
  </conditionalFormatting>
  <conditionalFormatting sqref="J64:J70">
    <cfRule type="expression" dxfId="1544" priority="49">
      <formula>#REF!="EURO"</formula>
    </cfRule>
  </conditionalFormatting>
  <conditionalFormatting sqref="K1:K37">
    <cfRule type="expression" dxfId="1543" priority="5">
      <formula>$B$9="USD"</formula>
    </cfRule>
    <cfRule type="expression" dxfId="1542" priority="4">
      <formula>$B$9="EURO"</formula>
    </cfRule>
    <cfRule type="expression" dxfId="1541" priority="6">
      <formula>$B$9="PLN"</formula>
    </cfRule>
  </conditionalFormatting>
  <conditionalFormatting sqref="K1:K1048576">
    <cfRule type="expression" dxfId="1540" priority="7">
      <formula>$B$9="CZK"</formula>
    </cfRule>
  </conditionalFormatting>
  <conditionalFormatting sqref="K15:K37">
    <cfRule type="cellIs" dxfId="1539" priority="3" operator="greaterThan">
      <formula>0</formula>
    </cfRule>
  </conditionalFormatting>
  <conditionalFormatting sqref="K39:K50">
    <cfRule type="cellIs" dxfId="1538" priority="20" operator="greaterThan">
      <formula>0</formula>
    </cfRule>
  </conditionalFormatting>
  <conditionalFormatting sqref="K39:K1048576">
    <cfRule type="expression" dxfId="1537" priority="19">
      <formula>$B$9="PLN"</formula>
    </cfRule>
    <cfRule type="expression" dxfId="1536" priority="18">
      <formula>$B$9="USD"</formula>
    </cfRule>
    <cfRule type="expression" dxfId="1535" priority="17">
      <formula>$B$9="EURO"</formula>
    </cfRule>
  </conditionalFormatting>
  <conditionalFormatting sqref="K51">
    <cfRule type="cellIs" dxfId="1534" priority="26" operator="greaterThan">
      <formula>0</formula>
    </cfRule>
  </conditionalFormatting>
  <conditionalFormatting sqref="K53:K62">
    <cfRule type="cellIs" dxfId="1533" priority="16" operator="greaterThan">
      <formula>0</formula>
    </cfRule>
  </conditionalFormatting>
  <conditionalFormatting sqref="L23:L37">
    <cfRule type="cellIs" dxfId="1532" priority="10" operator="greaterThan">
      <formula>0</formula>
    </cfRule>
  </conditionalFormatting>
  <conditionalFormatting sqref="L39:L50">
    <cfRule type="cellIs" dxfId="1531" priority="22" operator="greaterThan">
      <formula>0</formula>
    </cfRule>
  </conditionalFormatting>
  <conditionalFormatting sqref="T41">
    <cfRule type="cellIs" dxfId="1530" priority="21" operator="greaterThan">
      <formula>0</formula>
    </cfRule>
  </conditionalFormatting>
  <dataValidations count="3">
    <dataValidation type="list" allowBlank="1" showInputMessage="1" showErrorMessage="1" sqref="C26" xr:uid="{00000000-0002-0000-7100-000000000000}">
      <formula1>"SELECT CONTROLS,SMARTEC, REMOTE TOUCH SCREEN"</formula1>
    </dataValidation>
    <dataValidation type="list" allowBlank="1" showInputMessage="1" showErrorMessage="1" sqref="C13" xr:uid="{00000000-0002-0000-71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71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IF('[12]CANOPY (7)'!C3="","",'[12]CANOPY (7)'!C3)</f>
        <v>#REF!</v>
      </c>
      <c r="E3" s="934"/>
      <c r="G3" s="71" t="s">
        <v>4</v>
      </c>
      <c r="H3" s="935" t="e">
        <f>IF('[12]CANOPY (7)'!G3="","",'[12]CANOPY (7)'!G3)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IF('[12]CANOPY (7)'!C5="","",'[12]CANOPY (7)'!C5)</f>
        <v>#REF!</v>
      </c>
      <c r="E5" s="934"/>
      <c r="G5" s="71" t="s">
        <v>8</v>
      </c>
      <c r="H5" s="935" t="e">
        <f>IF('[12]CANOPY (7)'!G5="","",'[12]CANOPY (7)'!G5)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IF('[12]CANOPY (7)'!C7="","",'[12]CANOPY (7)'!C7)</f>
        <v>#REF!</v>
      </c>
      <c r="E7" s="934"/>
      <c r="G7" s="71" t="s">
        <v>12</v>
      </c>
      <c r="H7" s="939" t="e">
        <f>IF('[12]CANOPY (7)'!G7="","",'[12]CANOPY (7)'!G7)</f>
        <v>#REF!</v>
      </c>
      <c r="I7" s="936"/>
      <c r="J7" s="937"/>
      <c r="N7" s="266" t="s">
        <v>14</v>
      </c>
      <c r="O7" s="787" t="e">
        <f>IF('[12]CANOPY (7)'!O7="","",'[12]CANOPY (7)'!O7)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1529" priority="26">
      <formula>C9="CURRENCY"</formula>
    </cfRule>
    <cfRule type="containsText" dxfId="1528" priority="25" operator="containsText" text="SELECT">
      <formula>NOT(ISERROR(SEARCH("SELECT",C9)))</formula>
    </cfRule>
  </conditionalFormatting>
  <conditionalFormatting sqref="C14:C23">
    <cfRule type="expression" dxfId="1527" priority="1">
      <formula>$J14&gt;0</formula>
    </cfRule>
  </conditionalFormatting>
  <conditionalFormatting sqref="C27:C37">
    <cfRule type="expression" dxfId="1526" priority="10">
      <formula>$D27&gt;0</formula>
    </cfRule>
  </conditionalFormatting>
  <conditionalFormatting sqref="D27:D28 D30:D37">
    <cfRule type="cellIs" dxfId="1525" priority="27" operator="lessThan">
      <formula>1</formula>
    </cfRule>
  </conditionalFormatting>
  <conditionalFormatting sqref="D29">
    <cfRule type="cellIs" dxfId="1524" priority="22" operator="lessThan">
      <formula>1</formula>
    </cfRule>
  </conditionalFormatting>
  <conditionalFormatting sqref="D9:E9">
    <cfRule type="cellIs" dxfId="1523" priority="23" operator="lessThan">
      <formula>0</formula>
    </cfRule>
    <cfRule type="cellIs" dxfId="1522" priority="24" operator="greaterThan">
      <formula>0</formula>
    </cfRule>
  </conditionalFormatting>
  <conditionalFormatting sqref="F12">
    <cfRule type="cellIs" dxfId="1521" priority="37" operator="greaterThan">
      <formula>2000</formula>
    </cfRule>
    <cfRule type="expression" dxfId="1520" priority="36">
      <formula>ISNUMBER(SEARCH("I-MUAP",#REF!))</formula>
    </cfRule>
    <cfRule type="expression" dxfId="1519" priority="35">
      <formula>AND((ISNUMBER(SEARCH("I-MUAP",#REF!))),F12&lt;2500)</formula>
    </cfRule>
  </conditionalFormatting>
  <conditionalFormatting sqref="F12:G12">
    <cfRule type="cellIs" dxfId="1518" priority="28" operator="lessThan">
      <formula>1000</formula>
    </cfRule>
  </conditionalFormatting>
  <conditionalFormatting sqref="F14:G19">
    <cfRule type="cellIs" dxfId="1517" priority="3" operator="lessThan">
      <formula>1000</formula>
    </cfRule>
  </conditionalFormatting>
  <conditionalFormatting sqref="G12">
    <cfRule type="cellIs" dxfId="1516" priority="29" operator="greaterThan">
      <formula>3001</formula>
    </cfRule>
  </conditionalFormatting>
  <conditionalFormatting sqref="H11">
    <cfRule type="expression" dxfId="1515" priority="38">
      <formula>((#REF!-50)/#REF!)&lt;950</formula>
    </cfRule>
  </conditionalFormatting>
  <conditionalFormatting sqref="H12">
    <cfRule type="expression" dxfId="1514" priority="39">
      <formula>((#REF!-50)/#REF!)&lt;950</formula>
    </cfRule>
  </conditionalFormatting>
  <conditionalFormatting sqref="H14:H19">
    <cfRule type="cellIs" dxfId="1513" priority="4" operator="lessThan">
      <formula>400</formula>
    </cfRule>
  </conditionalFormatting>
  <conditionalFormatting sqref="H24">
    <cfRule type="expression" dxfId="1512" priority="34">
      <formula>((#REF!-50)/#REF!)&lt;950</formula>
    </cfRule>
  </conditionalFormatting>
  <conditionalFormatting sqref="J14:J21">
    <cfRule type="cellIs" dxfId="1511" priority="15" operator="greaterThan">
      <formula>0</formula>
    </cfRule>
  </conditionalFormatting>
  <conditionalFormatting sqref="J27:J37">
    <cfRule type="expression" dxfId="1510" priority="16">
      <formula>D27&gt;0</formula>
    </cfRule>
  </conditionalFormatting>
  <conditionalFormatting sqref="J39:J45">
    <cfRule type="expression" dxfId="1509" priority="44">
      <formula>#REF!="EURO"</formula>
    </cfRule>
  </conditionalFormatting>
  <conditionalFormatting sqref="K14:K23 N14:O23">
    <cfRule type="cellIs" dxfId="1508" priority="2" operator="greaterThan">
      <formula>0</formula>
    </cfRule>
  </conditionalFormatting>
  <conditionalFormatting sqref="K27:K37">
    <cfRule type="cellIs" dxfId="1507" priority="21" operator="greaterThan">
      <formula>0</formula>
    </cfRule>
  </conditionalFormatting>
  <conditionalFormatting sqref="K39:K45">
    <cfRule type="expression" dxfId="1506" priority="40">
      <formula>$C$9="PLN"</formula>
    </cfRule>
    <cfRule type="expression" dxfId="1505" priority="41">
      <formula>$C$9="CZK"</formula>
    </cfRule>
    <cfRule type="expression" dxfId="1504" priority="42">
      <formula>$C$9="USD"</formula>
    </cfRule>
    <cfRule type="expression" dxfId="1503" priority="43">
      <formula>$C$9="EURO"</formula>
    </cfRule>
  </conditionalFormatting>
  <conditionalFormatting sqref="L14:L23">
    <cfRule type="expression" dxfId="1502" priority="14">
      <formula>$D$9&gt;0</formula>
    </cfRule>
    <cfRule type="expression" dxfId="1501" priority="13">
      <formula>$D$9&lt;0</formula>
    </cfRule>
  </conditionalFormatting>
  <conditionalFormatting sqref="L27:L37">
    <cfRule type="expression" dxfId="1500" priority="12">
      <formula>$D$9&gt;0</formula>
    </cfRule>
    <cfRule type="expression" dxfId="1499" priority="11">
      <formula>$D$9&lt;0</formula>
    </cfRule>
  </conditionalFormatting>
  <conditionalFormatting sqref="N9 N12">
    <cfRule type="expression" dxfId="1498" priority="30">
      <formula>$C$9="PLN"</formula>
    </cfRule>
    <cfRule type="expression" dxfId="1497" priority="31">
      <formula>$C$9="CZK"</formula>
    </cfRule>
    <cfRule type="expression" dxfId="1496" priority="32">
      <formula>$C$9="USD"</formula>
    </cfRule>
    <cfRule type="expression" dxfId="1495" priority="33">
      <formula>$C$9="EURO"</formula>
    </cfRule>
  </conditionalFormatting>
  <conditionalFormatting sqref="N14:N23">
    <cfRule type="expression" dxfId="1494" priority="20">
      <formula>$C$9="EURO"</formula>
    </cfRule>
    <cfRule type="expression" dxfId="1493" priority="19">
      <formula>$C$9="USD"</formula>
    </cfRule>
    <cfRule type="expression" dxfId="1492" priority="18">
      <formula>$C$9="CZK"</formula>
    </cfRule>
    <cfRule type="expression" dxfId="1491" priority="17">
      <formula>$C$9="PLN"</formula>
    </cfRule>
  </conditionalFormatting>
  <conditionalFormatting sqref="N26:N37">
    <cfRule type="expression" dxfId="1490" priority="6">
      <formula>$C$9="PLN"</formula>
    </cfRule>
    <cfRule type="expression" dxfId="1489" priority="7">
      <formula>$C$9="CZK"</formula>
    </cfRule>
    <cfRule type="expression" dxfId="1488" priority="9">
      <formula>$C$9="EURO"</formula>
    </cfRule>
    <cfRule type="expression" dxfId="1487" priority="8">
      <formula>$C$9="USD"</formula>
    </cfRule>
  </conditionalFormatting>
  <conditionalFormatting sqref="N27:O37">
    <cfRule type="cellIs" dxfId="1486" priority="5" operator="greaterThan">
      <formula>0</formula>
    </cfRule>
  </conditionalFormatting>
  <dataValidations count="3">
    <dataValidation operator="greaterThan" allowBlank="1" showInputMessage="1" showErrorMessage="1" sqref="F14:F19" xr:uid="{00000000-0002-0000-7200-000000000000}"/>
    <dataValidation type="list" allowBlank="1" showInputMessage="1" showErrorMessage="1" sqref="E14:E23" xr:uid="{00000000-0002-0000-7200-000001000000}">
      <formula1>"0,1,2,3,4,5,6,7,8,9,10,11,12,13,14,15,16,17,18,19,20"</formula1>
    </dataValidation>
    <dataValidation type="list" allowBlank="1" showInputMessage="1" showErrorMessage="1" sqref="H25" xr:uid="{00000000-0002-0000-72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IF('[12]CANOPY (7)'!C3="","",'[12]CANOPY (7)'!C3)</f>
        <v>#REF!</v>
      </c>
      <c r="E3" s="934"/>
      <c r="G3" s="71" t="s">
        <v>4</v>
      </c>
      <c r="H3" s="935" t="e">
        <f>IF('[12]CANOPY (7)'!G3="","",'[12]CANOPY (7)'!G3)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IF('[12]CANOPY (7)'!C5="","",'[12]CANOPY (7)'!C5)</f>
        <v>#REF!</v>
      </c>
      <c r="E5" s="934"/>
      <c r="G5" s="71" t="s">
        <v>8</v>
      </c>
      <c r="H5" s="935" t="e">
        <f>IF('[12]CANOPY (7)'!G5="","",'[12]CANOPY (7)'!G5)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IF('[12]CANOPY (7)'!C7="","",'[12]CANOPY (7)'!C7)</f>
        <v>#REF!</v>
      </c>
      <c r="E7" s="934"/>
      <c r="G7" s="71" t="s">
        <v>12</v>
      </c>
      <c r="H7" s="939" t="e">
        <f>IF('[12]CANOPY (7)'!G7="","",'[12]CANOPY (7)'!G7)</f>
        <v>#REF!</v>
      </c>
      <c r="I7" s="936"/>
      <c r="J7" s="937"/>
      <c r="N7" s="266" t="s">
        <v>14</v>
      </c>
      <c r="O7" s="787" t="e">
        <f>IF('[12]CANOPY (7)'!O7="","",'[12]CANOPY (7)'!O7)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485" priority="34">
      <formula>C9="CURRENCY"</formula>
    </cfRule>
    <cfRule type="containsText" dxfId="1484" priority="33" operator="containsText" text="SELECT">
      <formula>NOT(ISERROR(SEARCH("SELECT",C9)))</formula>
    </cfRule>
  </conditionalFormatting>
  <conditionalFormatting sqref="C14:C32">
    <cfRule type="expression" dxfId="1483" priority="10">
      <formula>$J14&gt;0</formula>
    </cfRule>
  </conditionalFormatting>
  <conditionalFormatting sqref="C36:C46">
    <cfRule type="expression" dxfId="1482" priority="9">
      <formula>$D36&gt;0</formula>
    </cfRule>
  </conditionalFormatting>
  <conditionalFormatting sqref="D36:D37 D39:D46">
    <cfRule type="cellIs" dxfId="1481" priority="35" operator="lessThan">
      <formula>1</formula>
    </cfRule>
  </conditionalFormatting>
  <conditionalFormatting sqref="D38">
    <cfRule type="cellIs" dxfId="1480" priority="30" operator="lessThan">
      <formula>1</formula>
    </cfRule>
  </conditionalFormatting>
  <conditionalFormatting sqref="D9:E9">
    <cfRule type="cellIs" dxfId="1479" priority="32" operator="greaterThan">
      <formula>0</formula>
    </cfRule>
    <cfRule type="cellIs" dxfId="1478" priority="31" operator="lessThan">
      <formula>0</formula>
    </cfRule>
  </conditionalFormatting>
  <conditionalFormatting sqref="F12">
    <cfRule type="cellIs" dxfId="1477" priority="42" operator="greaterThan">
      <formula>2000</formula>
    </cfRule>
    <cfRule type="expression" dxfId="1476" priority="41">
      <formula>ISNUMBER(SEARCH("I-MUAP",$E$14))</formula>
    </cfRule>
    <cfRule type="expression" dxfId="1475" priority="40">
      <formula>AND((ISNUMBER(SEARCH("I-MUAP",$E$14))),F12&lt;2500)</formula>
    </cfRule>
  </conditionalFormatting>
  <conditionalFormatting sqref="F12:G12">
    <cfRule type="cellIs" dxfId="1474" priority="36" operator="lessThan">
      <formula>1000</formula>
    </cfRule>
  </conditionalFormatting>
  <conditionalFormatting sqref="F14:G26">
    <cfRule type="cellIs" dxfId="1473" priority="2" operator="lessThan">
      <formula>1000</formula>
    </cfRule>
  </conditionalFormatting>
  <conditionalFormatting sqref="G12">
    <cfRule type="cellIs" dxfId="1472" priority="37" operator="greaterThan">
      <formula>3001</formula>
    </cfRule>
  </conditionalFormatting>
  <conditionalFormatting sqref="H11">
    <cfRule type="expression" dxfId="1471" priority="39">
      <formula>((G14-50)/I14)&lt;950</formula>
    </cfRule>
  </conditionalFormatting>
  <conditionalFormatting sqref="H12">
    <cfRule type="expression" dxfId="1470" priority="38">
      <formula>((G14-50)/I14)&lt;950</formula>
    </cfRule>
  </conditionalFormatting>
  <conditionalFormatting sqref="H14:H26">
    <cfRule type="cellIs" dxfId="1469" priority="3" operator="lessThan">
      <formula>400</formula>
    </cfRule>
  </conditionalFormatting>
  <conditionalFormatting sqref="H33">
    <cfRule type="expression" dxfId="1468" priority="47">
      <formula>((#REF!-50)/#REF!)&lt;950</formula>
    </cfRule>
  </conditionalFormatting>
  <conditionalFormatting sqref="J14:J30">
    <cfRule type="cellIs" dxfId="1467" priority="15" operator="greaterThan">
      <formula>0</formula>
    </cfRule>
  </conditionalFormatting>
  <conditionalFormatting sqref="J36:J46">
    <cfRule type="expression" dxfId="1466" priority="23">
      <formula>D36&gt;0</formula>
    </cfRule>
  </conditionalFormatting>
  <conditionalFormatting sqref="J48:J54">
    <cfRule type="expression" dxfId="1465" priority="28">
      <formula>#REF!="EURO"</formula>
    </cfRule>
  </conditionalFormatting>
  <conditionalFormatting sqref="K14:K32">
    <cfRule type="cellIs" dxfId="1464" priority="1" operator="greaterThan">
      <formula>0</formula>
    </cfRule>
  </conditionalFormatting>
  <conditionalFormatting sqref="K36:K46">
    <cfRule type="cellIs" dxfId="1463" priority="29" operator="greaterThan">
      <formula>0</formula>
    </cfRule>
  </conditionalFormatting>
  <conditionalFormatting sqref="K48:K54">
    <cfRule type="expression" dxfId="1462" priority="24">
      <formula>$C$9="PLN"</formula>
    </cfRule>
    <cfRule type="expression" dxfId="1461" priority="25">
      <formula>$C$9="CZK"</formula>
    </cfRule>
    <cfRule type="expression" dxfId="1460" priority="26">
      <formula>$C$9="USD"</formula>
    </cfRule>
    <cfRule type="expression" dxfId="1459" priority="27">
      <formula>$C$9="EURO"</formula>
    </cfRule>
  </conditionalFormatting>
  <conditionalFormatting sqref="L14:L32">
    <cfRule type="expression" dxfId="1458" priority="13">
      <formula>$D$9&lt;0</formula>
    </cfRule>
    <cfRule type="expression" dxfId="1457" priority="14">
      <formula>$D$9&gt;0</formula>
    </cfRule>
  </conditionalFormatting>
  <conditionalFormatting sqref="L36:L46">
    <cfRule type="expression" dxfId="1456" priority="12">
      <formula>$D$9&gt;0</formula>
    </cfRule>
    <cfRule type="expression" dxfId="1455" priority="11">
      <formula>$D$9&lt;0</formula>
    </cfRule>
  </conditionalFormatting>
  <conditionalFormatting sqref="N9 N12">
    <cfRule type="expression" dxfId="1454" priority="43">
      <formula>$C$9="PLN"</formula>
    </cfRule>
    <cfRule type="expression" dxfId="1453" priority="44">
      <formula>$C$9="CZK"</formula>
    </cfRule>
    <cfRule type="expression" dxfId="1452" priority="45">
      <formula>$C$9="USD"</formula>
    </cfRule>
    <cfRule type="expression" dxfId="1451" priority="46">
      <formula>$C$9="EURO"</formula>
    </cfRule>
  </conditionalFormatting>
  <conditionalFormatting sqref="N14:N32">
    <cfRule type="expression" dxfId="1450" priority="20">
      <formula>$C$9="EURO"</formula>
    </cfRule>
    <cfRule type="expression" dxfId="1449" priority="19">
      <formula>$C$9="USD"</formula>
    </cfRule>
    <cfRule type="expression" dxfId="1448" priority="18">
      <formula>$C$9="CZK"</formula>
    </cfRule>
    <cfRule type="expression" dxfId="1447" priority="17">
      <formula>$C$9="PLN"</formula>
    </cfRule>
  </conditionalFormatting>
  <conditionalFormatting sqref="N18:N20">
    <cfRule type="cellIs" dxfId="1446" priority="21" operator="greaterThan">
      <formula>0</formula>
    </cfRule>
  </conditionalFormatting>
  <conditionalFormatting sqref="N35:N46">
    <cfRule type="expression" dxfId="1445" priority="8">
      <formula>$C$9="EURO"</formula>
    </cfRule>
    <cfRule type="expression" dxfId="1444" priority="7">
      <formula>$C$9="USD"</formula>
    </cfRule>
    <cfRule type="expression" dxfId="1443" priority="6">
      <formula>$C$9="CZK"</formula>
    </cfRule>
    <cfRule type="expression" dxfId="1442" priority="5">
      <formula>$C$9="PLN"</formula>
    </cfRule>
  </conditionalFormatting>
  <conditionalFormatting sqref="N14:O32">
    <cfRule type="cellIs" dxfId="1441" priority="16" operator="greaterThan">
      <formula>0</formula>
    </cfRule>
  </conditionalFormatting>
  <conditionalFormatting sqref="N36:O46">
    <cfRule type="cellIs" dxfId="1440" priority="4" operator="greaterThan">
      <formula>0</formula>
    </cfRule>
  </conditionalFormatting>
  <conditionalFormatting sqref="O14:O20">
    <cfRule type="cellIs" dxfId="1439" priority="22" operator="greaterThan">
      <formula>0</formula>
    </cfRule>
  </conditionalFormatting>
  <dataValidations count="3">
    <dataValidation type="list" allowBlank="1" showInputMessage="1" showErrorMessage="1" sqref="H34" xr:uid="{00000000-0002-0000-7300-000000000000}">
      <formula1>#REF!</formula1>
    </dataValidation>
    <dataValidation operator="greaterThan" allowBlank="1" showInputMessage="1" showErrorMessage="1" sqref="F14:F26" xr:uid="{00000000-0002-0000-7300-000001000000}"/>
    <dataValidation type="list" allowBlank="1" showInputMessage="1" showErrorMessage="1" sqref="E14:E32" xr:uid="{00000000-0002-0000-73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IF('[13]CANOPY (8)'!G3="","",'[13]CANOPY (8)'!G3)</f>
        <v>#REF!</v>
      </c>
      <c r="I2" s="975"/>
      <c r="J2" s="975"/>
      <c r="K2" s="975"/>
      <c r="L2" s="976"/>
      <c r="M2" s="483" t="s">
        <v>368</v>
      </c>
      <c r="N2" s="974" t="e">
        <f>IF('[13]CANOPY (8)'!C3="","",'[13]CANOPY (8)'!C3)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IF('[13]CANOPY (8)'!G3="","",'[13]CANOPY (8)'!G3)</f>
        <v>#REF!</v>
      </c>
      <c r="I2" s="975"/>
      <c r="J2" s="975"/>
      <c r="K2" s="975"/>
      <c r="L2" s="976"/>
      <c r="M2" s="483" t="s">
        <v>368</v>
      </c>
      <c r="N2" s="974" t="e">
        <f>IF('[13]CANOPY (8)'!C3="","",'[13]CANOPY (8)'!C3)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IF('[13]CANOPY (8)'!G3="","",'[13]CANOPY (8)'!G3)</f>
        <v>#REF!</v>
      </c>
      <c r="I2" s="975"/>
      <c r="J2" s="975"/>
      <c r="K2" s="975"/>
      <c r="L2" s="976"/>
      <c r="M2" s="483" t="s">
        <v>368</v>
      </c>
      <c r="N2" s="974" t="e">
        <f>IF('[13]CANOPY (8)'!C3="","",'[13]CANOPY (8)'!C3)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IF('[13]CANOPY (8)'!C3="","",'[13]CANOPY (8)'!C3)</f>
        <v>#REF!</v>
      </c>
      <c r="D3" s="979"/>
      <c r="E3" s="103" t="s">
        <v>4</v>
      </c>
      <c r="F3" s="935" t="e">
        <f>IF('[13]CANOPY (8)'!G3="","",'[13]CANOPY (8)'!G3)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IF('[13]CANOPY (8)'!C5="","",'[13]CANOPY (8)'!C5)</f>
        <v>#REF!</v>
      </c>
      <c r="D5" s="979"/>
      <c r="E5" s="103" t="s">
        <v>8</v>
      </c>
      <c r="F5" s="935" t="e">
        <f>IF('[13]CANOPY (8)'!G5="","",'[13]CANOPY (8)'!G5)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IF('[13]CANOPY (8)'!C7="","",'[13]CANOPY (8)'!C7)</f>
        <v>#REF!</v>
      </c>
      <c r="D7" s="979"/>
      <c r="E7" s="103" t="s">
        <v>12</v>
      </c>
      <c r="F7" s="939" t="e">
        <f>IF('[13]CANOPY (8)'!G7="","",'[13]CANOPY (8)'!G7)</f>
        <v>#REF!</v>
      </c>
      <c r="G7" s="979"/>
      <c r="H7" s="245"/>
      <c r="J7" s="240" t="s">
        <v>14</v>
      </c>
      <c r="K7" s="787" t="e">
        <f>IF('[13]CANOPY (8)'!O7="","",'[13]CANOPY (8)'!O7)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1438" priority="24">
      <formula>B9="CURRENCY"</formula>
    </cfRule>
    <cfRule type="containsText" dxfId="1437" priority="23" operator="containsText" text="SELECT">
      <formula>NOT(ISERROR(SEARCH("SELECT",B9)))</formula>
    </cfRule>
  </conditionalFormatting>
  <conditionalFormatting sqref="B13:B24">
    <cfRule type="expression" dxfId="1436" priority="6">
      <formula>$C13&gt;0</formula>
    </cfRule>
  </conditionalFormatting>
  <conditionalFormatting sqref="B25:B39">
    <cfRule type="expression" dxfId="1435" priority="5">
      <formula>$C25&gt;0</formula>
    </cfRule>
  </conditionalFormatting>
  <conditionalFormatting sqref="B40:B42">
    <cfRule type="expression" dxfId="1434" priority="4">
      <formula>$C40&gt;0</formula>
    </cfRule>
  </conditionalFormatting>
  <conditionalFormatting sqref="B43:B50">
    <cfRule type="expression" dxfId="1433" priority="1">
      <formula>$C43&gt;0</formula>
    </cfRule>
  </conditionalFormatting>
  <conditionalFormatting sqref="B51:B54">
    <cfRule type="expression" dxfId="1432" priority="3">
      <formula>$C51&gt;0</formula>
    </cfRule>
  </conditionalFormatting>
  <conditionalFormatting sqref="B57:B66">
    <cfRule type="expression" dxfId="1431" priority="2">
      <formula>$C57&gt;0</formula>
    </cfRule>
  </conditionalFormatting>
  <conditionalFormatting sqref="C13:C54">
    <cfRule type="cellIs" dxfId="1430" priority="10" operator="lessThan">
      <formula>1</formula>
    </cfRule>
  </conditionalFormatting>
  <conditionalFormatting sqref="C57:C66">
    <cfRule type="cellIs" dxfId="1429" priority="26" operator="equal">
      <formula>0</formula>
    </cfRule>
  </conditionalFormatting>
  <conditionalFormatting sqref="C9:D9">
    <cfRule type="cellIs" dxfId="1428" priority="20" operator="lessThan">
      <formula>0</formula>
    </cfRule>
    <cfRule type="cellIs" dxfId="1427" priority="21" operator="greaterThan">
      <formula>0</formula>
    </cfRule>
  </conditionalFormatting>
  <conditionalFormatting sqref="F13:F54">
    <cfRule type="expression" dxfId="1426" priority="9">
      <formula>C13&gt;0</formula>
    </cfRule>
  </conditionalFormatting>
  <conditionalFormatting sqref="F57:F66">
    <cfRule type="expression" dxfId="1425" priority="19">
      <formula>C57&gt;0</formula>
    </cfRule>
  </conditionalFormatting>
  <conditionalFormatting sqref="F58:F66">
    <cfRule type="expression" dxfId="1424" priority="25">
      <formula>C58&lt;1</formula>
    </cfRule>
  </conditionalFormatting>
  <conditionalFormatting sqref="G13:G54">
    <cfRule type="cellIs" dxfId="1423" priority="8" operator="greaterThan">
      <formula>0</formula>
    </cfRule>
  </conditionalFormatting>
  <conditionalFormatting sqref="G57:G66">
    <cfRule type="cellIs" dxfId="1422" priority="18" operator="greaterThan">
      <formula>0</formula>
    </cfRule>
  </conditionalFormatting>
  <conditionalFormatting sqref="H13:H54">
    <cfRule type="expression" dxfId="1421" priority="15">
      <formula>$C$9&gt;0</formula>
    </cfRule>
    <cfRule type="expression" dxfId="1420" priority="16">
      <formula>$C$9&lt;0</formula>
    </cfRule>
  </conditionalFormatting>
  <conditionalFormatting sqref="H57:H66">
    <cfRule type="expression" dxfId="1419" priority="32">
      <formula>$C$9&lt;0</formula>
    </cfRule>
    <cfRule type="expression" dxfId="1418" priority="31">
      <formula>$C$9&gt;0</formula>
    </cfRule>
  </conditionalFormatting>
  <conditionalFormatting sqref="J2:J6 J75:J1048576">
    <cfRule type="expression" dxfId="1417" priority="27">
      <formula>$B$9="EURO"</formula>
    </cfRule>
  </conditionalFormatting>
  <conditionalFormatting sqref="J8:J67">
    <cfRule type="expression" dxfId="1416" priority="11">
      <formula>$B$9="EURO"</formula>
    </cfRule>
  </conditionalFormatting>
  <conditionalFormatting sqref="J9 J56:J66">
    <cfRule type="expression" dxfId="1415" priority="28">
      <formula>$B$9="USD"</formula>
    </cfRule>
    <cfRule type="expression" dxfId="1414" priority="29">
      <formula>$B$9="PLN"</formula>
    </cfRule>
    <cfRule type="expression" dxfId="1413" priority="30">
      <formula>$B$9="CZK"</formula>
    </cfRule>
  </conditionalFormatting>
  <conditionalFormatting sqref="J12:J54">
    <cfRule type="expression" dxfId="1412" priority="14">
      <formula>$B$9="CZK"</formula>
    </cfRule>
    <cfRule type="expression" dxfId="1411" priority="13">
      <formula>$B$9="PLN"</formula>
    </cfRule>
    <cfRule type="expression" dxfId="1410" priority="12">
      <formula>$B$9="USD"</formula>
    </cfRule>
  </conditionalFormatting>
  <conditionalFormatting sqref="J68:J74">
    <cfRule type="expression" dxfId="1409" priority="22">
      <formula>$F$10="EURO"</formula>
    </cfRule>
  </conditionalFormatting>
  <conditionalFormatting sqref="J13:K54">
    <cfRule type="cellIs" dxfId="1408" priority="7" operator="greaterThan">
      <formula>0</formula>
    </cfRule>
  </conditionalFormatting>
  <conditionalFormatting sqref="J57:K66">
    <cfRule type="cellIs" dxfId="1407" priority="17" operator="greaterThan">
      <formula>0</formula>
    </cfRule>
  </conditionalFormatting>
  <dataValidations count="1">
    <dataValidation type="list" allowBlank="1" showInputMessage="1" showErrorMessage="1" sqref="D55" xr:uid="{00000000-0002-0000-77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IF('[13]CANOPY (8)'!C3="","",'[13]CANOPY (8)'!C3)</f>
        <v>#REF!</v>
      </c>
      <c r="D3" s="979"/>
      <c r="E3" s="103" t="s">
        <v>4</v>
      </c>
      <c r="F3" s="935" t="e">
        <f>IF('[13]CANOPY (8)'!G3="","",'[13]CANOPY (8)'!G3)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IF('[13]CANOPY (8)'!C5="","",'[13]CANOPY (8)'!C5)</f>
        <v>#REF!</v>
      </c>
      <c r="D5" s="979"/>
      <c r="E5" s="103" t="s">
        <v>8</v>
      </c>
      <c r="F5" s="935" t="e">
        <f>IF('[13]CANOPY (8)'!G5="","",'[13]CANOPY (8)'!G5)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IF('[13]CANOPY (8)'!C7="","",'[13]CANOPY (8)'!C7)</f>
        <v>#REF!</v>
      </c>
      <c r="D7" s="979"/>
      <c r="E7" s="103" t="s">
        <v>12</v>
      </c>
      <c r="F7" s="939" t="e">
        <f>IF('[13]CANOPY (8)'!G7="","",'[13]CANOPY (8)'!G7)</f>
        <v>#REF!</v>
      </c>
      <c r="G7" s="979"/>
      <c r="H7" s="245"/>
      <c r="J7" s="240" t="s">
        <v>14</v>
      </c>
      <c r="K7" s="787" t="e">
        <f>IF('[13]CANOPY (8)'!O7="","",'[13]CANOPY (8)'!O7)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1406" priority="27">
      <formula>B9="CURRENCY"</formula>
    </cfRule>
    <cfRule type="containsText" dxfId="1405" priority="26" operator="containsText" text="SELECT">
      <formula>NOT(ISERROR(SEARCH("SELECT",B9)))</formula>
    </cfRule>
  </conditionalFormatting>
  <conditionalFormatting sqref="B13:B24">
    <cfRule type="expression" dxfId="1404" priority="4">
      <formula>$C13&gt;0</formula>
    </cfRule>
  </conditionalFormatting>
  <conditionalFormatting sqref="B25:B39">
    <cfRule type="expression" dxfId="1403" priority="3">
      <formula>$C25&gt;0</formula>
    </cfRule>
  </conditionalFormatting>
  <conditionalFormatting sqref="B40:B54">
    <cfRule type="expression" dxfId="1402" priority="2">
      <formula>$C40&gt;0</formula>
    </cfRule>
  </conditionalFormatting>
  <conditionalFormatting sqref="B57:B66">
    <cfRule type="expression" dxfId="1401" priority="1">
      <formula>$C57&gt;0</formula>
    </cfRule>
  </conditionalFormatting>
  <conditionalFormatting sqref="C13:C54">
    <cfRule type="cellIs" dxfId="1400" priority="13" operator="lessThan">
      <formula>1</formula>
    </cfRule>
  </conditionalFormatting>
  <conditionalFormatting sqref="C57:C66">
    <cfRule type="cellIs" dxfId="1399" priority="29" operator="equal">
      <formula>0</formula>
    </cfRule>
  </conditionalFormatting>
  <conditionalFormatting sqref="C9:D9">
    <cfRule type="cellIs" dxfId="1398" priority="24" operator="greaterThan">
      <formula>0</formula>
    </cfRule>
    <cfRule type="cellIs" dxfId="1397" priority="23" operator="lessThan">
      <formula>0</formula>
    </cfRule>
  </conditionalFormatting>
  <conditionalFormatting sqref="F13:F54">
    <cfRule type="expression" dxfId="1396" priority="12">
      <formula>C13&gt;0</formula>
    </cfRule>
  </conditionalFormatting>
  <conditionalFormatting sqref="F57:F66">
    <cfRule type="expression" dxfId="1395" priority="22">
      <formula>C57&gt;0</formula>
    </cfRule>
  </conditionalFormatting>
  <conditionalFormatting sqref="F58:F66">
    <cfRule type="expression" dxfId="1394" priority="28">
      <formula>C58&lt;1</formula>
    </cfRule>
  </conditionalFormatting>
  <conditionalFormatting sqref="G13:G54">
    <cfRule type="cellIs" dxfId="1393" priority="11" operator="greaterThan">
      <formula>0</formula>
    </cfRule>
  </conditionalFormatting>
  <conditionalFormatting sqref="G57:G66">
    <cfRule type="cellIs" dxfId="1392" priority="21" operator="greaterThan">
      <formula>0</formula>
    </cfRule>
  </conditionalFormatting>
  <conditionalFormatting sqref="H13:H54">
    <cfRule type="expression" dxfId="1391" priority="18">
      <formula>$C$9&gt;0</formula>
    </cfRule>
    <cfRule type="expression" dxfId="1390" priority="19">
      <formula>$C$9&lt;0</formula>
    </cfRule>
  </conditionalFormatting>
  <conditionalFormatting sqref="H57:H66">
    <cfRule type="expression" dxfId="1389" priority="34">
      <formula>$C$9&gt;0</formula>
    </cfRule>
    <cfRule type="expression" dxfId="1388" priority="35">
      <formula>$C$9&lt;0</formula>
    </cfRule>
  </conditionalFormatting>
  <conditionalFormatting sqref="J2:J6 J75:J1048576">
    <cfRule type="expression" dxfId="1387" priority="30">
      <formula>$B$9="EURO"</formula>
    </cfRule>
  </conditionalFormatting>
  <conditionalFormatting sqref="J8:J67">
    <cfRule type="expression" dxfId="1386" priority="14">
      <formula>$B$9="EURO"</formula>
    </cfRule>
  </conditionalFormatting>
  <conditionalFormatting sqref="J9 J56:J66">
    <cfRule type="expression" dxfId="1385" priority="31">
      <formula>$B$9="USD"</formula>
    </cfRule>
    <cfRule type="expression" dxfId="1384" priority="32">
      <formula>$B$9="PLN"</formula>
    </cfRule>
    <cfRule type="expression" dxfId="1383" priority="33">
      <formula>$B$9="CZK"</formula>
    </cfRule>
  </conditionalFormatting>
  <conditionalFormatting sqref="J12:J54">
    <cfRule type="expression" dxfId="1382" priority="17">
      <formula>$B$9="CZK"</formula>
    </cfRule>
    <cfRule type="expression" dxfId="1381" priority="16">
      <formula>$B$9="PLN"</formula>
    </cfRule>
    <cfRule type="expression" dxfId="1380" priority="15">
      <formula>$B$9="USD"</formula>
    </cfRule>
  </conditionalFormatting>
  <conditionalFormatting sqref="J68:J74">
    <cfRule type="expression" dxfId="1379" priority="25">
      <formula>$F$10="EURO"</formula>
    </cfRule>
  </conditionalFormatting>
  <conditionalFormatting sqref="J13:K54">
    <cfRule type="cellIs" dxfId="1378" priority="10" operator="greaterThan">
      <formula>0</formula>
    </cfRule>
  </conditionalFormatting>
  <conditionalFormatting sqref="J57:K66">
    <cfRule type="cellIs" dxfId="1377" priority="20" operator="greaterThan">
      <formula>0</formula>
    </cfRule>
  </conditionalFormatting>
  <conditionalFormatting sqref="M12:P54">
    <cfRule type="expression" dxfId="1376" priority="9">
      <formula>$B$9="CZK"</formula>
    </cfRule>
    <cfRule type="expression" dxfId="1375" priority="8">
      <formula>$B$9="PLN"</formula>
    </cfRule>
    <cfRule type="expression" dxfId="1374" priority="7">
      <formula>$B$9="USD"</formula>
    </cfRule>
    <cfRule type="expression" dxfId="1373" priority="6">
      <formula>$B$9="EURO"</formula>
    </cfRule>
  </conditionalFormatting>
  <conditionalFormatting sqref="M13:P54">
    <cfRule type="cellIs" dxfId="1372" priority="5" operator="greaterThan">
      <formula>0</formula>
    </cfRule>
  </conditionalFormatting>
  <dataValidations count="3">
    <dataValidation type="list" allowBlank="1" showInputMessage="1" showErrorMessage="1" sqref="D26" xr:uid="{00000000-0002-0000-7800-000000000000}">
      <formula1>$H$17:$H$21</formula1>
    </dataValidation>
    <dataValidation type="list" allowBlank="1" showInputMessage="1" showErrorMessage="1" sqref="D55" xr:uid="{00000000-0002-0000-7800-000001000000}">
      <formula1>$B$3:$B$15</formula1>
    </dataValidation>
    <dataValidation type="list" allowBlank="1" showInputMessage="1" showErrorMessage="1" sqref="D13" xr:uid="{00000000-0002-0000-78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IF('[13]CANOPY (8)'!C3="","",'[13]CANOPY (8)'!C3)</f>
        <v>#REF!</v>
      </c>
      <c r="D3" s="979"/>
      <c r="E3" s="122" t="s">
        <v>4</v>
      </c>
      <c r="F3" s="987" t="e">
        <f>IF('[13]CANOPY (8)'!G3="","",'[13]CANOPY (8)'!G3)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IF('[13]CANOPY (8)'!C5="","",'[13]CANOPY (8)'!C5)</f>
        <v>#REF!</v>
      </c>
      <c r="D5" s="979"/>
      <c r="E5" s="122" t="s">
        <v>8</v>
      </c>
      <c r="F5" s="987" t="e">
        <f>IF('[13]CANOPY (8)'!G5="","",'[13]CANOPY (8)'!G5)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IF('[13]CANOPY (8)'!C7="","",'[13]CANOPY (8)'!C7)</f>
        <v>#REF!</v>
      </c>
      <c r="D7" s="979"/>
      <c r="E7" s="122" t="s">
        <v>12</v>
      </c>
      <c r="F7" s="989" t="e">
        <f>IF('[13]CANOPY (8)'!G7="","",'[13]CANOPY (8)'!G7)</f>
        <v>#REF!</v>
      </c>
      <c r="G7" s="979"/>
      <c r="H7" s="979"/>
      <c r="J7" s="197" t="s">
        <v>14</v>
      </c>
      <c r="K7" s="484" t="e">
        <f>IF('[13]CANOPY (8)'!O7="","",'[13]CANOPY (8)'!O7)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371" priority="8" operator="containsText" text="SELECT">
      <formula>NOT(ISERROR(SEARCH("SELECT",B10)))</formula>
    </cfRule>
    <cfRule type="expression" dxfId="1370" priority="9">
      <formula>B10="CURRENCY"</formula>
    </cfRule>
  </conditionalFormatting>
  <conditionalFormatting sqref="B14:B41">
    <cfRule type="expression" dxfId="1369" priority="2">
      <formula>$C14&gt;0</formula>
    </cfRule>
  </conditionalFormatting>
  <conditionalFormatting sqref="B44:B55">
    <cfRule type="expression" dxfId="1368" priority="1">
      <formula>$C44&gt;0</formula>
    </cfRule>
  </conditionalFormatting>
  <conditionalFormatting sqref="C14:C41 C44:C55">
    <cfRule type="cellIs" dxfId="1367" priority="12" operator="equal">
      <formula>0</formula>
    </cfRule>
  </conditionalFormatting>
  <conditionalFormatting sqref="C10:D10">
    <cfRule type="cellIs" dxfId="1366" priority="6" operator="lessThan">
      <formula>0</formula>
    </cfRule>
    <cfRule type="cellIs" dxfId="1365" priority="7" operator="greaterThan">
      <formula>0</formula>
    </cfRule>
  </conditionalFormatting>
  <conditionalFormatting sqref="E12:E13">
    <cfRule type="cellIs" dxfId="1364" priority="10" operator="greaterThan">
      <formula>0</formula>
    </cfRule>
    <cfRule type="cellIs" dxfId="1363" priority="11" operator="lessThan">
      <formula>0</formula>
    </cfRule>
  </conditionalFormatting>
  <conditionalFormatting sqref="F14:F41 F44:F55">
    <cfRule type="expression" dxfId="1362" priority="5">
      <formula>C14&gt;0</formula>
    </cfRule>
  </conditionalFormatting>
  <conditionalFormatting sqref="G14:G41 G44:G55">
    <cfRule type="cellIs" dxfId="1361" priority="4" operator="greaterThan">
      <formula>0</formula>
    </cfRule>
  </conditionalFormatting>
  <conditionalFormatting sqref="H14:H41 H44:H55">
    <cfRule type="expression" dxfId="1360" priority="17">
      <formula>$C$10&lt;0</formula>
    </cfRule>
    <cfRule type="expression" dxfId="1359" priority="18">
      <formula>$C$10&gt;0</formula>
    </cfRule>
  </conditionalFormatting>
  <conditionalFormatting sqref="J1:J6 J8:J11 J13:J1048576">
    <cfRule type="expression" dxfId="1358" priority="13">
      <formula>$B$10="EURO"</formula>
    </cfRule>
  </conditionalFormatting>
  <conditionalFormatting sqref="J10 J13:J41 J43:J55">
    <cfRule type="expression" dxfId="1357" priority="14">
      <formula>$B$10="PLN"</formula>
    </cfRule>
    <cfRule type="expression" dxfId="1356" priority="15">
      <formula>$B$10="CZK"</formula>
    </cfRule>
    <cfRule type="expression" dxfId="1355" priority="16">
      <formula>$B$10="USD"</formula>
    </cfRule>
  </conditionalFormatting>
  <conditionalFormatting sqref="J14:K41 J44:K56">
    <cfRule type="cellIs" dxfId="1354" priority="3" operator="greaterThan">
      <formula>0</formula>
    </cfRule>
  </conditionalFormatting>
  <dataValidations count="1">
    <dataValidation type="list" allowBlank="1" showInputMessage="1" showErrorMessage="1" sqref="F12:F13" xr:uid="{00000000-0002-0000-79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IF('[13]CANOPY (8)'!C3="","",'[13]CANOPY (8)'!C3)</f>
        <v>#REF!</v>
      </c>
      <c r="D3" s="990"/>
      <c r="E3" s="129"/>
      <c r="F3" s="132" t="s">
        <v>4</v>
      </c>
      <c r="G3" s="938" t="e">
        <f>IF('[13]CANOPY (8)'!G3="","",'[13]CANOPY (8)'!G3)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IF('[13]CANOPY (8)'!C5="","",'[13]CANOPY (8)'!C5)</f>
        <v>#REF!</v>
      </c>
      <c r="D5" s="990"/>
      <c r="E5" s="131"/>
      <c r="F5" s="132" t="s">
        <v>8</v>
      </c>
      <c r="G5" s="938" t="e">
        <f>IF('[13]CANOPY (8)'!G5="","",'[13]CANOPY (8)'!G5)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IF('[13]CANOPY (8)'!C7="","",'[13]CANOPY (8)'!C7)</f>
        <v>#REF!</v>
      </c>
      <c r="D7" s="990"/>
      <c r="E7" s="135"/>
      <c r="F7" s="136" t="s">
        <v>12</v>
      </c>
      <c r="G7" s="939" t="e">
        <f>IF('[13]CANOPY (8)'!G7="","",'[13]CANOPY (8)'!G7)</f>
        <v>#REF!</v>
      </c>
      <c r="H7" s="990"/>
      <c r="I7" s="51"/>
      <c r="J7" s="280"/>
      <c r="K7" s="280" t="s">
        <v>14</v>
      </c>
      <c r="L7" s="484" t="e">
        <f>IF('[13]CANOPY (8)'!O7="","",'[13]CANOPY (8)'!O7)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1353" priority="26">
      <formula>B9="CURRENCY"</formula>
    </cfRule>
    <cfRule type="containsText" dxfId="1352" priority="25" operator="containsText" text="SELECT">
      <formula>NOT(ISERROR(SEARCH("SELECT",B9)))</formula>
    </cfRule>
  </conditionalFormatting>
  <conditionalFormatting sqref="B15:B29">
    <cfRule type="expression" dxfId="1351" priority="9">
      <formula>$D15&gt;0</formula>
    </cfRule>
  </conditionalFormatting>
  <conditionalFormatting sqref="B49 E49:F49">
    <cfRule type="expression" dxfId="1350" priority="49">
      <formula>C40="select controls"</formula>
    </cfRule>
  </conditionalFormatting>
  <conditionalFormatting sqref="C13">
    <cfRule type="containsText" dxfId="1349" priority="29" operator="containsText" text="SELECT">
      <formula>NOT(ISERROR(SEARCH("SELECT",C13)))</formula>
    </cfRule>
  </conditionalFormatting>
  <conditionalFormatting sqref="C15:C22">
    <cfRule type="containsText" dxfId="1348" priority="15" operator="containsText" text="SIZE">
      <formula>NOT(ISERROR(SEARCH("SIZE",C15)))</formula>
    </cfRule>
  </conditionalFormatting>
  <conditionalFormatting sqref="C25">
    <cfRule type="containsText" dxfId="1347" priority="37" operator="containsText" text="SELECT CONTROLS">
      <formula>NOT(ISERROR(SEARCH("SELECT CONTROLS",C25)))</formula>
    </cfRule>
  </conditionalFormatting>
  <conditionalFormatting sqref="C26">
    <cfRule type="expression" dxfId="1346" priority="32">
      <formula>$C$25="SMARTEC"</formula>
    </cfRule>
    <cfRule type="containsText" dxfId="1345" priority="31" operator="containsText" text="st/st">
      <formula>NOT(ISERROR(SEARCH("st/st",C26)))</formula>
    </cfRule>
  </conditionalFormatting>
  <conditionalFormatting sqref="C31:C32">
    <cfRule type="cellIs" dxfId="1344" priority="20" operator="greaterThan">
      <formula>0</formula>
    </cfRule>
  </conditionalFormatting>
  <conditionalFormatting sqref="C52:C61">
    <cfRule type="cellIs" dxfId="1343" priority="28" operator="lessThan">
      <formula>1</formula>
    </cfRule>
  </conditionalFormatting>
  <conditionalFormatting sqref="C9:D9">
    <cfRule type="cellIs" dxfId="1342" priority="23" operator="lessThan">
      <formula>0</formula>
    </cfRule>
    <cfRule type="cellIs" dxfId="1341" priority="24" operator="greaterThan">
      <formula>0</formula>
    </cfRule>
  </conditionalFormatting>
  <conditionalFormatting sqref="C29:D29">
    <cfRule type="expression" dxfId="1340" priority="36">
      <formula>$C$25="REMOTE TOUCH SCREEN"</formula>
    </cfRule>
    <cfRule type="expression" dxfId="1339" priority="35">
      <formula>$C$25="SMARTEC"</formula>
    </cfRule>
  </conditionalFormatting>
  <conditionalFormatting sqref="D26">
    <cfRule type="expression" dxfId="1338" priority="33">
      <formula>C25="SMARTEC"</formula>
    </cfRule>
    <cfRule type="expression" dxfId="1337" priority="30">
      <formula>C26="st/st enclosure"</formula>
    </cfRule>
  </conditionalFormatting>
  <conditionalFormatting sqref="D29">
    <cfRule type="expression" dxfId="1336" priority="34">
      <formula>$C$25="SMARTEC"</formula>
    </cfRule>
  </conditionalFormatting>
  <conditionalFormatting sqref="D38">
    <cfRule type="expression" dxfId="1335" priority="48">
      <formula>#REF!="SMARTEC"</formula>
    </cfRule>
    <cfRule type="expression" dxfId="1334" priority="47">
      <formula>C38="st/st enclosure"</formula>
    </cfRule>
  </conditionalFormatting>
  <conditionalFormatting sqref="E39:E43">
    <cfRule type="expression" dxfId="1333" priority="46">
      <formula>#REF!="select controls"</formula>
    </cfRule>
  </conditionalFormatting>
  <conditionalFormatting sqref="E44:F45 B45:B48 E46:E47 E48:F48">
    <cfRule type="expression" dxfId="1332" priority="27">
      <formula>C38="select controls"</formula>
    </cfRule>
  </conditionalFormatting>
  <conditionalFormatting sqref="F40">
    <cfRule type="expression" dxfId="1331" priority="1">
      <formula>G34="select controls"</formula>
    </cfRule>
  </conditionalFormatting>
  <conditionalFormatting sqref="G15:G36">
    <cfRule type="cellIs" dxfId="1330" priority="2" operator="greaterThan">
      <formula>0</formula>
    </cfRule>
  </conditionalFormatting>
  <conditionalFormatting sqref="G38:G49">
    <cfRule type="cellIs" dxfId="1329" priority="18" operator="greaterThan">
      <formula>0</formula>
    </cfRule>
  </conditionalFormatting>
  <conditionalFormatting sqref="G52:G61">
    <cfRule type="expression" dxfId="1328" priority="8">
      <formula>C52&gt;0</formula>
    </cfRule>
  </conditionalFormatting>
  <conditionalFormatting sqref="H13 J13 L13">
    <cfRule type="expression" dxfId="1327" priority="38">
      <formula>$B$9="EURO"</formula>
    </cfRule>
  </conditionalFormatting>
  <conditionalFormatting sqref="H15:H61">
    <cfRule type="cellIs" dxfId="1326" priority="19" operator="greaterThan">
      <formula>0</formula>
    </cfRule>
  </conditionalFormatting>
  <conditionalFormatting sqref="I15:I36 I38:I49 I52:I61">
    <cfRule type="expression" dxfId="1325" priority="44">
      <formula>$C$9&lt;0</formula>
    </cfRule>
    <cfRule type="expression" dxfId="1324" priority="43">
      <formula>$C$9&gt;0</formula>
    </cfRule>
  </conditionalFormatting>
  <conditionalFormatting sqref="J37">
    <cfRule type="expression" dxfId="1323" priority="42">
      <formula>$B$9="EURO"</formula>
    </cfRule>
    <cfRule type="expression" dxfId="1322" priority="41">
      <formula>$B$9="USD"</formula>
    </cfRule>
    <cfRule type="expression" dxfId="1321" priority="40">
      <formula>$B$9="CZK"</formula>
    </cfRule>
    <cfRule type="expression" dxfId="1320" priority="39">
      <formula>$B$9="PLN"</formula>
    </cfRule>
  </conditionalFormatting>
  <conditionalFormatting sqref="J63:J69">
    <cfRule type="expression" dxfId="1319" priority="45">
      <formula>#REF!="EURO"</formula>
    </cfRule>
  </conditionalFormatting>
  <conditionalFormatting sqref="K1:K36">
    <cfRule type="expression" dxfId="1318" priority="5">
      <formula>$B$9="USD"</formula>
    </cfRule>
    <cfRule type="expression" dxfId="1317" priority="4">
      <formula>$B$9="EURO"</formula>
    </cfRule>
    <cfRule type="expression" dxfId="1316" priority="6">
      <formula>$B$9="PLN"</formula>
    </cfRule>
  </conditionalFormatting>
  <conditionalFormatting sqref="K1:K1048576">
    <cfRule type="expression" dxfId="1315" priority="7">
      <formula>$B$9="CZK"</formula>
    </cfRule>
  </conditionalFormatting>
  <conditionalFormatting sqref="K15:K36">
    <cfRule type="cellIs" dxfId="1314" priority="3" operator="greaterThan">
      <formula>0</formula>
    </cfRule>
  </conditionalFormatting>
  <conditionalFormatting sqref="K38:K49">
    <cfRule type="cellIs" dxfId="1313" priority="14" operator="greaterThan">
      <formula>0</formula>
    </cfRule>
  </conditionalFormatting>
  <conditionalFormatting sqref="K38:K1048576">
    <cfRule type="expression" dxfId="1312" priority="11">
      <formula>$B$9="EURO"</formula>
    </cfRule>
    <cfRule type="expression" dxfId="1311" priority="12">
      <formula>$B$9="USD"</formula>
    </cfRule>
    <cfRule type="expression" dxfId="1310" priority="13">
      <formula>$B$9="PLN"</formula>
    </cfRule>
  </conditionalFormatting>
  <conditionalFormatting sqref="K50">
    <cfRule type="cellIs" dxfId="1309" priority="22" operator="greaterThan">
      <formula>0</formula>
    </cfRule>
  </conditionalFormatting>
  <conditionalFormatting sqref="K52:K61">
    <cfRule type="cellIs" dxfId="1308" priority="10" operator="greaterThan">
      <formula>0</formula>
    </cfRule>
  </conditionalFormatting>
  <conditionalFormatting sqref="L15:L36 L52:L61">
    <cfRule type="cellIs" dxfId="1307" priority="21" operator="greaterThan">
      <formula>0</formula>
    </cfRule>
  </conditionalFormatting>
  <conditionalFormatting sqref="L38:L49">
    <cfRule type="cellIs" dxfId="1306" priority="17" operator="greaterThan">
      <formula>0</formula>
    </cfRule>
  </conditionalFormatting>
  <conditionalFormatting sqref="U40">
    <cfRule type="cellIs" dxfId="1305" priority="16" operator="greaterThan">
      <formula>0</formula>
    </cfRule>
  </conditionalFormatting>
  <dataValidations count="3">
    <dataValidation type="list" allowBlank="1" showInputMessage="1" showErrorMessage="1" sqref="C25" xr:uid="{00000000-0002-0000-7A00-000000000000}">
      <formula1>"SELECT CONTROLS,SMARTEC, REMOTE TOUCH SCREEN"</formula1>
    </dataValidation>
    <dataValidation type="list" allowBlank="1" showInputMessage="1" showErrorMessage="1" sqref="C13" xr:uid="{00000000-0002-0000-7A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7A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IF('[13]CANOPY (8)'!C3="","",'[13]CANOPY (8)'!C3)</f>
        <v>#REF!</v>
      </c>
      <c r="D3" s="990"/>
      <c r="E3" s="129"/>
      <c r="F3" s="132" t="s">
        <v>4</v>
      </c>
      <c r="G3" s="938" t="e">
        <f>IF('[13]CANOPY (8)'!G3="","",'[13]CANOPY (8)'!G3)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IF('[13]CANOPY (8)'!C5="","",'[13]CANOPY (8)'!C5)</f>
        <v>#REF!</v>
      </c>
      <c r="D5" s="990"/>
      <c r="E5" s="131"/>
      <c r="F5" s="132" t="s">
        <v>8</v>
      </c>
      <c r="G5" s="938" t="e">
        <f>IF('[13]CANOPY (8)'!G5="","",'[13]CANOPY (8)'!G5)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IF('[13]CANOPY (8)'!C7="","",'[13]CANOPY (8)'!C7)</f>
        <v>#REF!</v>
      </c>
      <c r="D7" s="990"/>
      <c r="E7" s="135"/>
      <c r="F7" s="136" t="s">
        <v>12</v>
      </c>
      <c r="G7" s="939" t="e">
        <f>IF('[13]CANOPY (8)'!G7="","",'[13]CANOPY (8)'!G7)</f>
        <v>#REF!</v>
      </c>
      <c r="H7" s="990"/>
      <c r="I7" s="51"/>
      <c r="J7" s="280"/>
      <c r="K7" s="280" t="s">
        <v>14</v>
      </c>
      <c r="L7" s="484" t="e">
        <f>IF('[13]CANOPY (8)'!O7="","",'[13]CANOPY (8)'!O7)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1304" priority="30">
      <formula>B9="CURRENCY"</formula>
    </cfRule>
    <cfRule type="containsText" dxfId="1303" priority="29" operator="containsText" text="SELECT">
      <formula>NOT(ISERROR(SEARCH("SELECT",B9)))</formula>
    </cfRule>
  </conditionalFormatting>
  <conditionalFormatting sqref="B15:B30">
    <cfRule type="expression" dxfId="1302" priority="2">
      <formula>$D15&gt;0</formula>
    </cfRule>
  </conditionalFormatting>
  <conditionalFormatting sqref="B50 E50:F50">
    <cfRule type="expression" dxfId="1301" priority="53">
      <formula>C41="select controls"</formula>
    </cfRule>
  </conditionalFormatting>
  <conditionalFormatting sqref="C13">
    <cfRule type="containsText" dxfId="1300" priority="33" operator="containsText" text="SELECT">
      <formula>NOT(ISERROR(SEARCH("SELECT",C13)))</formula>
    </cfRule>
  </conditionalFormatting>
  <conditionalFormatting sqref="C15:C23">
    <cfRule type="containsText" dxfId="1299" priority="8" operator="containsText" text="SIZE">
      <formula>NOT(ISERROR(SEARCH("SIZE",C15)))</formula>
    </cfRule>
  </conditionalFormatting>
  <conditionalFormatting sqref="C26">
    <cfRule type="containsText" dxfId="1298" priority="41" operator="containsText" text="SELECT CONTROLS">
      <formula>NOT(ISERROR(SEARCH("SELECT CONTROLS",C26)))</formula>
    </cfRule>
  </conditionalFormatting>
  <conditionalFormatting sqref="C27">
    <cfRule type="expression" dxfId="1297" priority="36">
      <formula>$C$26="SMARTEC"</formula>
    </cfRule>
    <cfRule type="containsText" dxfId="1296" priority="35" operator="containsText" text="st/st">
      <formula>NOT(ISERROR(SEARCH("st/st",C27)))</formula>
    </cfRule>
  </conditionalFormatting>
  <conditionalFormatting sqref="C32:C33">
    <cfRule type="cellIs" dxfId="1295" priority="24" operator="greaterThan">
      <formula>0</formula>
    </cfRule>
  </conditionalFormatting>
  <conditionalFormatting sqref="C53:C62">
    <cfRule type="cellIs" dxfId="1294" priority="32" operator="lessThan">
      <formula>1</formula>
    </cfRule>
  </conditionalFormatting>
  <conditionalFormatting sqref="C9:D9">
    <cfRule type="cellIs" dxfId="1293" priority="27" operator="lessThan">
      <formula>0</formula>
    </cfRule>
    <cfRule type="cellIs" dxfId="1292" priority="28" operator="greaterThan">
      <formula>0</formula>
    </cfRule>
  </conditionalFormatting>
  <conditionalFormatting sqref="C30:D30">
    <cfRule type="expression" dxfId="1291" priority="40">
      <formula>$C$26="REMOTE TOUCH SCREEN"</formula>
    </cfRule>
    <cfRule type="expression" dxfId="1290" priority="39">
      <formula>$C$26="SMARTEC"</formula>
    </cfRule>
  </conditionalFormatting>
  <conditionalFormatting sqref="D27">
    <cfRule type="expression" dxfId="1289" priority="37">
      <formula>C26="SMARTEC"</formula>
    </cfRule>
    <cfRule type="expression" dxfId="1288" priority="34">
      <formula>C27="st/st enclosure"</formula>
    </cfRule>
  </conditionalFormatting>
  <conditionalFormatting sqref="D30">
    <cfRule type="expression" dxfId="1287" priority="38">
      <formula>$C$26="SMARTEC"</formula>
    </cfRule>
  </conditionalFormatting>
  <conditionalFormatting sqref="D39">
    <cfRule type="expression" dxfId="1286" priority="52">
      <formula>#REF!="SMARTEC"</formula>
    </cfRule>
    <cfRule type="expression" dxfId="1285" priority="51">
      <formula>C39="st/st enclosure"</formula>
    </cfRule>
  </conditionalFormatting>
  <conditionalFormatting sqref="E40:E44">
    <cfRule type="expression" dxfId="1284" priority="50">
      <formula>#REF!="select controls"</formula>
    </cfRule>
  </conditionalFormatting>
  <conditionalFormatting sqref="E45 E46:F46 B46:B47 E47:E48 B49 E49:F49">
    <cfRule type="expression" dxfId="1283" priority="31">
      <formula>C39="select controls"</formula>
    </cfRule>
  </conditionalFormatting>
  <conditionalFormatting sqref="F41:F45">
    <cfRule type="expression" dxfId="1282" priority="1">
      <formula>G35="select controls"</formula>
    </cfRule>
  </conditionalFormatting>
  <conditionalFormatting sqref="G15:G37">
    <cfRule type="cellIs" dxfId="1281" priority="9" operator="greaterThan">
      <formula>0</formula>
    </cfRule>
  </conditionalFormatting>
  <conditionalFormatting sqref="G39:G50">
    <cfRule type="cellIs" dxfId="1280" priority="14" operator="greaterThan">
      <formula>0</formula>
    </cfRule>
  </conditionalFormatting>
  <conditionalFormatting sqref="G53:G62">
    <cfRule type="expression" dxfId="1279" priority="15">
      <formula>C53&gt;0</formula>
    </cfRule>
  </conditionalFormatting>
  <conditionalFormatting sqref="H13 J13 L13">
    <cfRule type="expression" dxfId="1278" priority="42">
      <formula>$B$9="EURO"</formula>
    </cfRule>
  </conditionalFormatting>
  <conditionalFormatting sqref="H23">
    <cfRule type="cellIs" dxfId="1277" priority="11" operator="greaterThan">
      <formula>0</formula>
    </cfRule>
  </conditionalFormatting>
  <conditionalFormatting sqref="H25:H62">
    <cfRule type="cellIs" dxfId="1276" priority="23" operator="greaterThan">
      <formula>0</formula>
    </cfRule>
  </conditionalFormatting>
  <conditionalFormatting sqref="H15:L22 L53:L62">
    <cfRule type="cellIs" dxfId="1275" priority="25" operator="greaterThan">
      <formula>0</formula>
    </cfRule>
  </conditionalFormatting>
  <conditionalFormatting sqref="I15:I37">
    <cfRule type="expression" dxfId="1274" priority="12">
      <formula>$C$9&gt;0</formula>
    </cfRule>
  </conditionalFormatting>
  <conditionalFormatting sqref="I23:I37">
    <cfRule type="expression" dxfId="1273" priority="13">
      <formula>$C$9&lt;0</formula>
    </cfRule>
  </conditionalFormatting>
  <conditionalFormatting sqref="I39:I50 I53:I62 I15:I22">
    <cfRule type="expression" dxfId="1272" priority="48">
      <formula>$C$9&lt;0</formula>
    </cfRule>
  </conditionalFormatting>
  <conditionalFormatting sqref="I39:I50 I53:I62">
    <cfRule type="expression" dxfId="1271" priority="47">
      <formula>$C$9&gt;0</formula>
    </cfRule>
  </conditionalFormatting>
  <conditionalFormatting sqref="J38">
    <cfRule type="expression" dxfId="1270" priority="43">
      <formula>$B$9="PLN"</formula>
    </cfRule>
    <cfRule type="expression" dxfId="1269" priority="44">
      <formula>$B$9="CZK"</formula>
    </cfRule>
    <cfRule type="expression" dxfId="1268" priority="45">
      <formula>$B$9="USD"</formula>
    </cfRule>
    <cfRule type="expression" dxfId="1267" priority="46">
      <formula>$B$9="EURO"</formula>
    </cfRule>
  </conditionalFormatting>
  <conditionalFormatting sqref="J64:J70">
    <cfRule type="expression" dxfId="1266" priority="49">
      <formula>#REF!="EURO"</formula>
    </cfRule>
  </conditionalFormatting>
  <conditionalFormatting sqref="K1:K37">
    <cfRule type="expression" dxfId="1265" priority="5">
      <formula>$B$9="USD"</formula>
    </cfRule>
    <cfRule type="expression" dxfId="1264" priority="4">
      <formula>$B$9="EURO"</formula>
    </cfRule>
    <cfRule type="expression" dxfId="1263" priority="6">
      <formula>$B$9="PLN"</formula>
    </cfRule>
  </conditionalFormatting>
  <conditionalFormatting sqref="K1:K1048576">
    <cfRule type="expression" dxfId="1262" priority="7">
      <formula>$B$9="CZK"</formula>
    </cfRule>
  </conditionalFormatting>
  <conditionalFormatting sqref="K15:K37">
    <cfRule type="cellIs" dxfId="1261" priority="3" operator="greaterThan">
      <formula>0</formula>
    </cfRule>
  </conditionalFormatting>
  <conditionalFormatting sqref="K39:K50">
    <cfRule type="cellIs" dxfId="1260" priority="20" operator="greaterThan">
      <formula>0</formula>
    </cfRule>
  </conditionalFormatting>
  <conditionalFormatting sqref="K39:K1048576">
    <cfRule type="expression" dxfId="1259" priority="19">
      <formula>$B$9="PLN"</formula>
    </cfRule>
    <cfRule type="expression" dxfId="1258" priority="18">
      <formula>$B$9="USD"</formula>
    </cfRule>
    <cfRule type="expression" dxfId="1257" priority="17">
      <formula>$B$9="EURO"</formula>
    </cfRule>
  </conditionalFormatting>
  <conditionalFormatting sqref="K51">
    <cfRule type="cellIs" dxfId="1256" priority="26" operator="greaterThan">
      <formula>0</formula>
    </cfRule>
  </conditionalFormatting>
  <conditionalFormatting sqref="K53:K62">
    <cfRule type="cellIs" dxfId="1255" priority="16" operator="greaterThan">
      <formula>0</formula>
    </cfRule>
  </conditionalFormatting>
  <conditionalFormatting sqref="L23:L37">
    <cfRule type="cellIs" dxfId="1254" priority="10" operator="greaterThan">
      <formula>0</formula>
    </cfRule>
  </conditionalFormatting>
  <conditionalFormatting sqref="L39:L50">
    <cfRule type="cellIs" dxfId="1253" priority="22" operator="greaterThan">
      <formula>0</formula>
    </cfRule>
  </conditionalFormatting>
  <conditionalFormatting sqref="T41">
    <cfRule type="cellIs" dxfId="1252"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7B00-000000000000}">
      <formula1>#REF!</formula1>
    </dataValidation>
    <dataValidation type="list" allowBlank="1" showInputMessage="1" showErrorMessage="1" sqref="C13" xr:uid="{00000000-0002-0000-7B00-000001000000}">
      <formula1>"SELECT MODEL,INTERNAL,EXTERNAL"</formula1>
    </dataValidation>
    <dataValidation type="list" allowBlank="1" showInputMessage="1" showErrorMessage="1" sqref="C26" xr:uid="{00000000-0002-0000-7B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IF('[13]CANOPY (8)'!C3="","",'[13]CANOPY (8)'!C3)</f>
        <v>#REF!</v>
      </c>
      <c r="E3" s="934"/>
      <c r="G3" s="71" t="s">
        <v>4</v>
      </c>
      <c r="H3" s="935" t="e">
        <f>IF('[13]CANOPY (8)'!G3="","",'[13]CANOPY (8)'!G3)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IF('[13]CANOPY (8)'!C5="","",'[13]CANOPY (8)'!C5)</f>
        <v>#REF!</v>
      </c>
      <c r="E5" s="934"/>
      <c r="G5" s="71" t="s">
        <v>8</v>
      </c>
      <c r="H5" s="935" t="e">
        <f>IF('[13]CANOPY (8)'!G5="","",'[13]CANOPY (8)'!G5)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IF('[13]CANOPY (8)'!C7="","",'[13]CANOPY (8)'!C7)</f>
        <v>#REF!</v>
      </c>
      <c r="E7" s="934"/>
      <c r="G7" s="71" t="s">
        <v>12</v>
      </c>
      <c r="H7" s="939" t="e">
        <f>IF('[13]CANOPY (8)'!G7="","",'[13]CANOPY (8)'!G7)</f>
        <v>#REF!</v>
      </c>
      <c r="I7" s="936"/>
      <c r="J7" s="937"/>
      <c r="N7" s="266" t="s">
        <v>14</v>
      </c>
      <c r="O7" s="787" t="e">
        <f>IF('[13]CANOPY (8)'!O7="","",'[13]CANOPY (8)'!O7)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1251" priority="26">
      <formula>C9="CURRENCY"</formula>
    </cfRule>
    <cfRule type="containsText" dxfId="1250" priority="25" operator="containsText" text="SELECT">
      <formula>NOT(ISERROR(SEARCH("SELECT",C9)))</formula>
    </cfRule>
  </conditionalFormatting>
  <conditionalFormatting sqref="C14:C23">
    <cfRule type="expression" dxfId="1249" priority="1">
      <formula>$J14&gt;0</formula>
    </cfRule>
  </conditionalFormatting>
  <conditionalFormatting sqref="C27:C37">
    <cfRule type="expression" dxfId="1248" priority="10">
      <formula>$D27&gt;0</formula>
    </cfRule>
  </conditionalFormatting>
  <conditionalFormatting sqref="D27:D28 D30:D37">
    <cfRule type="cellIs" dxfId="1247" priority="27" operator="lessThan">
      <formula>1</formula>
    </cfRule>
  </conditionalFormatting>
  <conditionalFormatting sqref="D29">
    <cfRule type="cellIs" dxfId="1246" priority="22" operator="lessThan">
      <formula>1</formula>
    </cfRule>
  </conditionalFormatting>
  <conditionalFormatting sqref="D9:E9">
    <cfRule type="cellIs" dxfId="1245" priority="23" operator="lessThan">
      <formula>0</formula>
    </cfRule>
    <cfRule type="cellIs" dxfId="1244" priority="24" operator="greaterThan">
      <formula>0</formula>
    </cfRule>
  </conditionalFormatting>
  <conditionalFormatting sqref="F12">
    <cfRule type="cellIs" dxfId="1243" priority="37" operator="greaterThan">
      <formula>2000</formula>
    </cfRule>
    <cfRule type="expression" dxfId="1242" priority="36">
      <formula>ISNUMBER(SEARCH("I-MUAP",#REF!))</formula>
    </cfRule>
    <cfRule type="expression" dxfId="1241" priority="35">
      <formula>AND((ISNUMBER(SEARCH("I-MUAP",#REF!))),F12&lt;2500)</formula>
    </cfRule>
  </conditionalFormatting>
  <conditionalFormatting sqref="F12:G12">
    <cfRule type="cellIs" dxfId="1240" priority="28" operator="lessThan">
      <formula>1000</formula>
    </cfRule>
  </conditionalFormatting>
  <conditionalFormatting sqref="F14:G19">
    <cfRule type="cellIs" dxfId="1239" priority="3" operator="lessThan">
      <formula>1000</formula>
    </cfRule>
  </conditionalFormatting>
  <conditionalFormatting sqref="G12">
    <cfRule type="cellIs" dxfId="1238" priority="29" operator="greaterThan">
      <formula>3001</formula>
    </cfRule>
  </conditionalFormatting>
  <conditionalFormatting sqref="H11">
    <cfRule type="expression" dxfId="1237" priority="38">
      <formula>((#REF!-50)/#REF!)&lt;950</formula>
    </cfRule>
  </conditionalFormatting>
  <conditionalFormatting sqref="H12">
    <cfRule type="expression" dxfId="1236" priority="39">
      <formula>((#REF!-50)/#REF!)&lt;950</formula>
    </cfRule>
  </conditionalFormatting>
  <conditionalFormatting sqref="H14:H19">
    <cfRule type="cellIs" dxfId="1235" priority="4" operator="lessThan">
      <formula>400</formula>
    </cfRule>
  </conditionalFormatting>
  <conditionalFormatting sqref="H24">
    <cfRule type="expression" dxfId="1234" priority="34">
      <formula>((#REF!-50)/#REF!)&lt;950</formula>
    </cfRule>
  </conditionalFormatting>
  <conditionalFormatting sqref="J14:J21">
    <cfRule type="cellIs" dxfId="1233" priority="15" operator="greaterThan">
      <formula>0</formula>
    </cfRule>
  </conditionalFormatting>
  <conditionalFormatting sqref="J27:J37">
    <cfRule type="expression" dxfId="1232" priority="16">
      <formula>D27&gt;0</formula>
    </cfRule>
  </conditionalFormatting>
  <conditionalFormatting sqref="J39:J45">
    <cfRule type="expression" dxfId="1231" priority="44">
      <formula>#REF!="EURO"</formula>
    </cfRule>
  </conditionalFormatting>
  <conditionalFormatting sqref="K14:K23 N14:O23">
    <cfRule type="cellIs" dxfId="1230" priority="2" operator="greaterThan">
      <formula>0</formula>
    </cfRule>
  </conditionalFormatting>
  <conditionalFormatting sqref="K27:K37">
    <cfRule type="cellIs" dxfId="1229" priority="21" operator="greaterThan">
      <formula>0</formula>
    </cfRule>
  </conditionalFormatting>
  <conditionalFormatting sqref="K39:K45">
    <cfRule type="expression" dxfId="1228" priority="40">
      <formula>$C$9="PLN"</formula>
    </cfRule>
    <cfRule type="expression" dxfId="1227" priority="41">
      <formula>$C$9="CZK"</formula>
    </cfRule>
    <cfRule type="expression" dxfId="1226" priority="42">
      <formula>$C$9="USD"</formula>
    </cfRule>
    <cfRule type="expression" dxfId="1225" priority="43">
      <formula>$C$9="EURO"</formula>
    </cfRule>
  </conditionalFormatting>
  <conditionalFormatting sqref="L14:L23">
    <cfRule type="expression" dxfId="1224" priority="14">
      <formula>$D$9&gt;0</formula>
    </cfRule>
    <cfRule type="expression" dxfId="1223" priority="13">
      <formula>$D$9&lt;0</formula>
    </cfRule>
  </conditionalFormatting>
  <conditionalFormatting sqref="L27:L37">
    <cfRule type="expression" dxfId="1222" priority="12">
      <formula>$D$9&gt;0</formula>
    </cfRule>
    <cfRule type="expression" dxfId="1221" priority="11">
      <formula>$D$9&lt;0</formula>
    </cfRule>
  </conditionalFormatting>
  <conditionalFormatting sqref="N9 N12">
    <cfRule type="expression" dxfId="1220" priority="30">
      <formula>$C$9="PLN"</formula>
    </cfRule>
    <cfRule type="expression" dxfId="1219" priority="31">
      <formula>$C$9="CZK"</formula>
    </cfRule>
    <cfRule type="expression" dxfId="1218" priority="32">
      <formula>$C$9="USD"</formula>
    </cfRule>
    <cfRule type="expression" dxfId="1217" priority="33">
      <formula>$C$9="EURO"</formula>
    </cfRule>
  </conditionalFormatting>
  <conditionalFormatting sqref="N14:N23">
    <cfRule type="expression" dxfId="1216" priority="20">
      <formula>$C$9="EURO"</formula>
    </cfRule>
    <cfRule type="expression" dxfId="1215" priority="19">
      <formula>$C$9="USD"</formula>
    </cfRule>
    <cfRule type="expression" dxfId="1214" priority="18">
      <formula>$C$9="CZK"</formula>
    </cfRule>
    <cfRule type="expression" dxfId="1213" priority="17">
      <formula>$C$9="PLN"</formula>
    </cfRule>
  </conditionalFormatting>
  <conditionalFormatting sqref="N26:N37">
    <cfRule type="expression" dxfId="1212" priority="6">
      <formula>$C$9="PLN"</formula>
    </cfRule>
    <cfRule type="expression" dxfId="1211" priority="7">
      <formula>$C$9="CZK"</formula>
    </cfRule>
    <cfRule type="expression" dxfId="1210" priority="9">
      <formula>$C$9="EURO"</formula>
    </cfRule>
    <cfRule type="expression" dxfId="1209" priority="8">
      <formula>$C$9="USD"</formula>
    </cfRule>
  </conditionalFormatting>
  <conditionalFormatting sqref="N27:O37">
    <cfRule type="cellIs" dxfId="1208" priority="5" operator="greaterThan">
      <formula>0</formula>
    </cfRule>
  </conditionalFormatting>
  <dataValidations count="3">
    <dataValidation type="list" allowBlank="1" showInputMessage="1" showErrorMessage="1" sqref="H25" xr:uid="{00000000-0002-0000-7C00-000000000000}">
      <formula1>#REF!</formula1>
    </dataValidation>
    <dataValidation type="list" allowBlank="1" showInputMessage="1" showErrorMessage="1" sqref="E14:E23" xr:uid="{00000000-0002-0000-7C00-000001000000}">
      <formula1>"0,1,2,3,4,5,6,7,8,9,10,11,12,13,14,15,16,17,18,19,20"</formula1>
    </dataValidation>
    <dataValidation operator="greaterThan" allowBlank="1" showInputMessage="1" showErrorMessage="1" sqref="F14:F19" xr:uid="{00000000-0002-0000-7C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IF('[13]CANOPY (8)'!C3="","",'[13]CANOPY (8)'!C3)</f>
        <v>#REF!</v>
      </c>
      <c r="E3" s="934"/>
      <c r="G3" s="71" t="s">
        <v>4</v>
      </c>
      <c r="H3" s="935" t="e">
        <f>IF('[13]CANOPY (8)'!G3="","",'[13]CANOPY (8)'!G3)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IF('[13]CANOPY (8)'!C5="","",'[13]CANOPY (8)'!C5)</f>
        <v>#REF!</v>
      </c>
      <c r="E5" s="934"/>
      <c r="G5" s="71" t="s">
        <v>8</v>
      </c>
      <c r="H5" s="935" t="e">
        <f>IF('[13]CANOPY (8)'!G5="","",'[13]CANOPY (8)'!G5)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IF('[13]CANOPY (8)'!C7="","",'[13]CANOPY (8)'!C7)</f>
        <v>#REF!</v>
      </c>
      <c r="E7" s="934"/>
      <c r="G7" s="71" t="s">
        <v>12</v>
      </c>
      <c r="H7" s="939" t="e">
        <f>IF('[13]CANOPY (8)'!G7="","",'[13]CANOPY (8)'!G7)</f>
        <v>#REF!</v>
      </c>
      <c r="I7" s="936"/>
      <c r="J7" s="937"/>
      <c r="N7" s="266" t="s">
        <v>14</v>
      </c>
      <c r="O7" s="787" t="e">
        <f>IF('[13]CANOPY (8)'!O7="","",'[13]CANOPY (8)'!O7)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1207" priority="34">
      <formula>C9="CURRENCY"</formula>
    </cfRule>
    <cfRule type="containsText" dxfId="1206" priority="33" operator="containsText" text="SELECT">
      <formula>NOT(ISERROR(SEARCH("SELECT",C9)))</formula>
    </cfRule>
  </conditionalFormatting>
  <conditionalFormatting sqref="C14:C32">
    <cfRule type="expression" dxfId="1205" priority="10">
      <formula>$J14&gt;0</formula>
    </cfRule>
  </conditionalFormatting>
  <conditionalFormatting sqref="C36:C46">
    <cfRule type="expression" dxfId="1204" priority="9">
      <formula>$D36&gt;0</formula>
    </cfRule>
  </conditionalFormatting>
  <conditionalFormatting sqref="D36:D37 D39:D46">
    <cfRule type="cellIs" dxfId="1203" priority="35" operator="lessThan">
      <formula>1</formula>
    </cfRule>
  </conditionalFormatting>
  <conditionalFormatting sqref="D38">
    <cfRule type="cellIs" dxfId="1202" priority="30" operator="lessThan">
      <formula>1</formula>
    </cfRule>
  </conditionalFormatting>
  <conditionalFormatting sqref="D9:E9">
    <cfRule type="cellIs" dxfId="1201" priority="32" operator="greaterThan">
      <formula>0</formula>
    </cfRule>
    <cfRule type="cellIs" dxfId="1200" priority="31" operator="lessThan">
      <formula>0</formula>
    </cfRule>
  </conditionalFormatting>
  <conditionalFormatting sqref="F12">
    <cfRule type="cellIs" dxfId="1199" priority="42" operator="greaterThan">
      <formula>2000</formula>
    </cfRule>
    <cfRule type="expression" dxfId="1198" priority="41">
      <formula>ISNUMBER(SEARCH("I-MUAP",$E$14))</formula>
    </cfRule>
    <cfRule type="expression" dxfId="1197" priority="40">
      <formula>AND((ISNUMBER(SEARCH("I-MUAP",$E$14))),F12&lt;2500)</formula>
    </cfRule>
  </conditionalFormatting>
  <conditionalFormatting sqref="F12:G12">
    <cfRule type="cellIs" dxfId="1196" priority="36" operator="lessThan">
      <formula>1000</formula>
    </cfRule>
  </conditionalFormatting>
  <conditionalFormatting sqref="F14:G26">
    <cfRule type="cellIs" dxfId="1195" priority="2" operator="lessThan">
      <formula>1000</formula>
    </cfRule>
  </conditionalFormatting>
  <conditionalFormatting sqref="G12">
    <cfRule type="cellIs" dxfId="1194" priority="37" operator="greaterThan">
      <formula>3001</formula>
    </cfRule>
  </conditionalFormatting>
  <conditionalFormatting sqref="H11">
    <cfRule type="expression" dxfId="1193" priority="39">
      <formula>((G14-50)/I14)&lt;950</formula>
    </cfRule>
  </conditionalFormatting>
  <conditionalFormatting sqref="H12">
    <cfRule type="expression" dxfId="1192" priority="38">
      <formula>((G14-50)/I14)&lt;950</formula>
    </cfRule>
  </conditionalFormatting>
  <conditionalFormatting sqref="H14:H26">
    <cfRule type="cellIs" dxfId="1191" priority="3" operator="lessThan">
      <formula>400</formula>
    </cfRule>
  </conditionalFormatting>
  <conditionalFormatting sqref="H33">
    <cfRule type="expression" dxfId="1190" priority="47">
      <formula>((#REF!-50)/#REF!)&lt;950</formula>
    </cfRule>
  </conditionalFormatting>
  <conditionalFormatting sqref="J14:J30">
    <cfRule type="cellIs" dxfId="1189" priority="15" operator="greaterThan">
      <formula>0</formula>
    </cfRule>
  </conditionalFormatting>
  <conditionalFormatting sqref="J36:J46">
    <cfRule type="expression" dxfId="1188" priority="23">
      <formula>D36&gt;0</formula>
    </cfRule>
  </conditionalFormatting>
  <conditionalFormatting sqref="J48:J54">
    <cfRule type="expression" dxfId="1187" priority="28">
      <formula>#REF!="EURO"</formula>
    </cfRule>
  </conditionalFormatting>
  <conditionalFormatting sqref="K14:K32">
    <cfRule type="cellIs" dxfId="1186" priority="1" operator="greaterThan">
      <formula>0</formula>
    </cfRule>
  </conditionalFormatting>
  <conditionalFormatting sqref="K36:K46">
    <cfRule type="cellIs" dxfId="1185" priority="29" operator="greaterThan">
      <formula>0</formula>
    </cfRule>
  </conditionalFormatting>
  <conditionalFormatting sqref="K48:K54">
    <cfRule type="expression" dxfId="1184" priority="24">
      <formula>$C$9="PLN"</formula>
    </cfRule>
    <cfRule type="expression" dxfId="1183" priority="25">
      <formula>$C$9="CZK"</formula>
    </cfRule>
    <cfRule type="expression" dxfId="1182" priority="26">
      <formula>$C$9="USD"</formula>
    </cfRule>
    <cfRule type="expression" dxfId="1181" priority="27">
      <formula>$C$9="EURO"</formula>
    </cfRule>
  </conditionalFormatting>
  <conditionalFormatting sqref="L14:L32">
    <cfRule type="expression" dxfId="1180" priority="13">
      <formula>$D$9&lt;0</formula>
    </cfRule>
    <cfRule type="expression" dxfId="1179" priority="14">
      <formula>$D$9&gt;0</formula>
    </cfRule>
  </conditionalFormatting>
  <conditionalFormatting sqref="L36:L46">
    <cfRule type="expression" dxfId="1178" priority="12">
      <formula>$D$9&gt;0</formula>
    </cfRule>
    <cfRule type="expression" dxfId="1177" priority="11">
      <formula>$D$9&lt;0</formula>
    </cfRule>
  </conditionalFormatting>
  <conditionalFormatting sqref="N9 N12">
    <cfRule type="expression" dxfId="1176" priority="43">
      <formula>$C$9="PLN"</formula>
    </cfRule>
    <cfRule type="expression" dxfId="1175" priority="44">
      <formula>$C$9="CZK"</formula>
    </cfRule>
    <cfRule type="expression" dxfId="1174" priority="45">
      <formula>$C$9="USD"</formula>
    </cfRule>
    <cfRule type="expression" dxfId="1173" priority="46">
      <formula>$C$9="EURO"</formula>
    </cfRule>
  </conditionalFormatting>
  <conditionalFormatting sqref="N14:N32">
    <cfRule type="expression" dxfId="1172" priority="20">
      <formula>$C$9="EURO"</formula>
    </cfRule>
    <cfRule type="expression" dxfId="1171" priority="19">
      <formula>$C$9="USD"</formula>
    </cfRule>
    <cfRule type="expression" dxfId="1170" priority="18">
      <formula>$C$9="CZK"</formula>
    </cfRule>
    <cfRule type="expression" dxfId="1169" priority="17">
      <formula>$C$9="PLN"</formula>
    </cfRule>
  </conditionalFormatting>
  <conditionalFormatting sqref="N18:N20">
    <cfRule type="cellIs" dxfId="1168" priority="21" operator="greaterThan">
      <formula>0</formula>
    </cfRule>
  </conditionalFormatting>
  <conditionalFormatting sqref="N35:N46">
    <cfRule type="expression" dxfId="1167" priority="8">
      <formula>$C$9="EURO"</formula>
    </cfRule>
    <cfRule type="expression" dxfId="1166" priority="7">
      <formula>$C$9="USD"</formula>
    </cfRule>
    <cfRule type="expression" dxfId="1165" priority="6">
      <formula>$C$9="CZK"</formula>
    </cfRule>
    <cfRule type="expression" dxfId="1164" priority="5">
      <formula>$C$9="PLN"</formula>
    </cfRule>
  </conditionalFormatting>
  <conditionalFormatting sqref="N14:O32">
    <cfRule type="cellIs" dxfId="1163" priority="16" operator="greaterThan">
      <formula>0</formula>
    </cfRule>
  </conditionalFormatting>
  <conditionalFormatting sqref="N36:O46">
    <cfRule type="cellIs" dxfId="1162" priority="4" operator="greaterThan">
      <formula>0</formula>
    </cfRule>
  </conditionalFormatting>
  <conditionalFormatting sqref="O14:O20">
    <cfRule type="cellIs" dxfId="1161" priority="22" operator="greaterThan">
      <formula>0</formula>
    </cfRule>
  </conditionalFormatting>
  <dataValidations count="3">
    <dataValidation type="list" allowBlank="1" showInputMessage="1" showErrorMessage="1" sqref="E14:E32" xr:uid="{00000000-0002-0000-7D00-000000000000}">
      <formula1>"0,1,2,3,4,5,6,7,8,9,10,11,12,13,14,15,16,17,18,19,20"</formula1>
    </dataValidation>
    <dataValidation operator="greaterThan" allowBlank="1" showInputMessage="1" showErrorMessage="1" sqref="F14:F26" xr:uid="{00000000-0002-0000-7D00-000001000000}"/>
    <dataValidation type="list" allowBlank="1" showInputMessage="1" showErrorMessage="1" sqref="H34" xr:uid="{00000000-0002-0000-7D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IF('[14]CANOPY (3)'!G3="","",'[14]CANOPY (3)'!G3)</f>
        <v>#REF!</v>
      </c>
      <c r="I2" s="975"/>
      <c r="J2" s="975"/>
      <c r="K2" s="975"/>
      <c r="L2" s="976"/>
      <c r="M2" s="483" t="s">
        <v>368</v>
      </c>
      <c r="N2" s="974" t="e">
        <f>IF('[14]CANOPY (3)'!C3="","",'[14]CANOPY (3)'!C3)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IF('[14]CANOPY (3)'!G3="","",'[14]CANOPY (3)'!G3)</f>
        <v>#REF!</v>
      </c>
      <c r="I2" s="975"/>
      <c r="J2" s="975"/>
      <c r="K2" s="975"/>
      <c r="L2" s="976"/>
      <c r="M2" s="483" t="s">
        <v>368</v>
      </c>
      <c r="N2" s="974" t="e">
        <f>IF('[14]CANOPY (3)'!C3="","",'[14]CANOPY (3)'!C3)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IF('[14]CANOPY (3)'!G3="","",'[14]CANOPY (3)'!G3)</f>
        <v>#REF!</v>
      </c>
      <c r="I2" s="975"/>
      <c r="J2" s="975"/>
      <c r="K2" s="975"/>
      <c r="L2" s="976"/>
      <c r="M2" s="483" t="s">
        <v>368</v>
      </c>
      <c r="N2" s="974" t="e">
        <f>IF('[14]CANOPY (3)'!C3="","",'[14]CANOPY (3)'!C3)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IF('[14]CANOPY (3)'!G3="","",'[14]CANOPY (3)'!G3)</f>
        <v>#REF!</v>
      </c>
      <c r="I2" s="975"/>
      <c r="J2" s="975"/>
      <c r="K2" s="975"/>
      <c r="L2" s="976"/>
      <c r="M2" s="483" t="s">
        <v>368</v>
      </c>
      <c r="N2" s="974" t="e">
        <f>IF('[14]CANOPY (3)'!C3="","",'[14]CANOPY (3)'!C3)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IF('[14]CANOPY (3)'!C3="","",'[14]CANOPY (3)'!C3)</f>
        <v>#REF!</v>
      </c>
      <c r="D3" s="979"/>
      <c r="E3" s="103" t="s">
        <v>4</v>
      </c>
      <c r="F3" s="935" t="e">
        <f>IF('[14]CANOPY (3)'!G3="","",'[14]CANOPY (3)'!G3)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IF('[14]CANOPY (3)'!C5="","",'[14]CANOPY (3)'!C5)</f>
        <v>#REF!</v>
      </c>
      <c r="D5" s="979"/>
      <c r="E5" s="103" t="s">
        <v>8</v>
      </c>
      <c r="F5" s="935" t="e">
        <f>IF('[14]CANOPY (3)'!G5="","",'[14]CANOPY (3)'!G5)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IF('[14]CANOPY (3)'!C7="","",'[14]CANOPY (3)'!C7)</f>
        <v>#REF!</v>
      </c>
      <c r="D7" s="979"/>
      <c r="E7" s="103" t="s">
        <v>12</v>
      </c>
      <c r="F7" s="939" t="e">
        <f>IF('[14]CANOPY (3)'!G7="","",'[14]CANOPY (3)'!G7)</f>
        <v>#REF!</v>
      </c>
      <c r="G7" s="979"/>
      <c r="H7" s="245"/>
      <c r="J7" s="240" t="s">
        <v>14</v>
      </c>
      <c r="K7" s="787" t="e">
        <f>IF('[14]CANOPY (3)'!O7="","",'[14]CANOPY (3)'!O7)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1160" priority="24">
      <formula>B9="CURRENCY"</formula>
    </cfRule>
    <cfRule type="containsText" dxfId="1159" priority="23" operator="containsText" text="SELECT">
      <formula>NOT(ISERROR(SEARCH("SELECT",B9)))</formula>
    </cfRule>
  </conditionalFormatting>
  <conditionalFormatting sqref="B13:B24">
    <cfRule type="expression" dxfId="1158" priority="6">
      <formula>$C13&gt;0</formula>
    </cfRule>
  </conditionalFormatting>
  <conditionalFormatting sqref="B25:B39">
    <cfRule type="expression" dxfId="1157" priority="5">
      <formula>$C25&gt;0</formula>
    </cfRule>
  </conditionalFormatting>
  <conditionalFormatting sqref="B40:B42">
    <cfRule type="expression" dxfId="1156" priority="4">
      <formula>$C40&gt;0</formula>
    </cfRule>
  </conditionalFormatting>
  <conditionalFormatting sqref="B43:B50">
    <cfRule type="expression" dxfId="1155" priority="1">
      <formula>$C43&gt;0</formula>
    </cfRule>
  </conditionalFormatting>
  <conditionalFormatting sqref="B51:B54">
    <cfRule type="expression" dxfId="1154" priority="3">
      <formula>$C51&gt;0</formula>
    </cfRule>
  </conditionalFormatting>
  <conditionalFormatting sqref="B57:B66">
    <cfRule type="expression" dxfId="1153" priority="2">
      <formula>$C57&gt;0</formula>
    </cfRule>
  </conditionalFormatting>
  <conditionalFormatting sqref="C13:C54">
    <cfRule type="cellIs" dxfId="1152" priority="10" operator="lessThan">
      <formula>1</formula>
    </cfRule>
  </conditionalFormatting>
  <conditionalFormatting sqref="C57:C66">
    <cfRule type="cellIs" dxfId="1151" priority="26" operator="equal">
      <formula>0</formula>
    </cfRule>
  </conditionalFormatting>
  <conditionalFormatting sqref="C9:D9">
    <cfRule type="cellIs" dxfId="1150" priority="20" operator="lessThan">
      <formula>0</formula>
    </cfRule>
    <cfRule type="cellIs" dxfId="1149" priority="21" operator="greaterThan">
      <formula>0</formula>
    </cfRule>
  </conditionalFormatting>
  <conditionalFormatting sqref="F13:F54">
    <cfRule type="expression" dxfId="1148" priority="9">
      <formula>C13&gt;0</formula>
    </cfRule>
  </conditionalFormatting>
  <conditionalFormatting sqref="F57:F66">
    <cfRule type="expression" dxfId="1147" priority="19">
      <formula>C57&gt;0</formula>
    </cfRule>
  </conditionalFormatting>
  <conditionalFormatting sqref="F58:F66">
    <cfRule type="expression" dxfId="1146" priority="25">
      <formula>C58&lt;1</formula>
    </cfRule>
  </conditionalFormatting>
  <conditionalFormatting sqref="G13:G54">
    <cfRule type="cellIs" dxfId="1145" priority="8" operator="greaterThan">
      <formula>0</formula>
    </cfRule>
  </conditionalFormatting>
  <conditionalFormatting sqref="G57:G66">
    <cfRule type="cellIs" dxfId="1144" priority="18" operator="greaterThan">
      <formula>0</formula>
    </cfRule>
  </conditionalFormatting>
  <conditionalFormatting sqref="H13:H54">
    <cfRule type="expression" dxfId="1143" priority="15">
      <formula>$C$9&gt;0</formula>
    </cfRule>
    <cfRule type="expression" dxfId="1142" priority="16">
      <formula>$C$9&lt;0</formula>
    </cfRule>
  </conditionalFormatting>
  <conditionalFormatting sqref="H57:H66">
    <cfRule type="expression" dxfId="1141" priority="32">
      <formula>$C$9&lt;0</formula>
    </cfRule>
    <cfRule type="expression" dxfId="1140" priority="31">
      <formula>$C$9&gt;0</formula>
    </cfRule>
  </conditionalFormatting>
  <conditionalFormatting sqref="J2:J6 J75:J1048576">
    <cfRule type="expression" dxfId="1139" priority="27">
      <formula>$B$9="EURO"</formula>
    </cfRule>
  </conditionalFormatting>
  <conditionalFormatting sqref="J8:J67">
    <cfRule type="expression" dxfId="1138" priority="11">
      <formula>$B$9="EURO"</formula>
    </cfRule>
  </conditionalFormatting>
  <conditionalFormatting sqref="J9 J56:J66">
    <cfRule type="expression" dxfId="1137" priority="28">
      <formula>$B$9="USD"</formula>
    </cfRule>
    <cfRule type="expression" dxfId="1136" priority="29">
      <formula>$B$9="PLN"</formula>
    </cfRule>
    <cfRule type="expression" dxfId="1135" priority="30">
      <formula>$B$9="CZK"</formula>
    </cfRule>
  </conditionalFormatting>
  <conditionalFormatting sqref="J12:J54">
    <cfRule type="expression" dxfId="1134" priority="14">
      <formula>$B$9="CZK"</formula>
    </cfRule>
    <cfRule type="expression" dxfId="1133" priority="13">
      <formula>$B$9="PLN"</formula>
    </cfRule>
    <cfRule type="expression" dxfId="1132" priority="12">
      <formula>$B$9="USD"</formula>
    </cfRule>
  </conditionalFormatting>
  <conditionalFormatting sqref="J68:J74">
    <cfRule type="expression" dxfId="1131" priority="22">
      <formula>$F$10="EURO"</formula>
    </cfRule>
  </conditionalFormatting>
  <conditionalFormatting sqref="J13:K54">
    <cfRule type="cellIs" dxfId="1130" priority="7" operator="greaterThan">
      <formula>0</formula>
    </cfRule>
  </conditionalFormatting>
  <conditionalFormatting sqref="J57:K66">
    <cfRule type="cellIs" dxfId="1129" priority="17" operator="greaterThan">
      <formula>0</formula>
    </cfRule>
  </conditionalFormatting>
  <dataValidations count="1">
    <dataValidation type="list" allowBlank="1" showInputMessage="1" showErrorMessage="1" sqref="D55" xr:uid="{00000000-0002-0000-82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IF('[14]CANOPY (3)'!C3="","",'[14]CANOPY (3)'!C3)</f>
        <v>#REF!</v>
      </c>
      <c r="D3" s="979"/>
      <c r="E3" s="103" t="s">
        <v>4</v>
      </c>
      <c r="F3" s="935" t="e">
        <f>IF('[14]CANOPY (3)'!G3="","",'[14]CANOPY (3)'!G3)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IF('[14]CANOPY (3)'!C5="","",'[14]CANOPY (3)'!C5)</f>
        <v>#REF!</v>
      </c>
      <c r="D5" s="979"/>
      <c r="E5" s="103" t="s">
        <v>8</v>
      </c>
      <c r="F5" s="935" t="e">
        <f>IF('[14]CANOPY (3)'!G5="","",'[14]CANOPY (3)'!G5)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IF('[14]CANOPY (3)'!C7="","",'[14]CANOPY (3)'!C7)</f>
        <v>#REF!</v>
      </c>
      <c r="D7" s="979"/>
      <c r="E7" s="103" t="s">
        <v>12</v>
      </c>
      <c r="F7" s="939" t="e">
        <f>IF('[14]CANOPY (3)'!G7="","",'[14]CANOPY (3)'!G7)</f>
        <v>#REF!</v>
      </c>
      <c r="G7" s="979"/>
      <c r="H7" s="245"/>
      <c r="J7" s="240" t="s">
        <v>14</v>
      </c>
      <c r="K7" s="787" t="e">
        <f>IF('[14]CANOPY (3)'!O7="","",'[14]CANOPY (3)'!O7)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1128" priority="27">
      <formula>B9="CURRENCY"</formula>
    </cfRule>
    <cfRule type="containsText" dxfId="1127" priority="26" operator="containsText" text="SELECT">
      <formula>NOT(ISERROR(SEARCH("SELECT",B9)))</formula>
    </cfRule>
  </conditionalFormatting>
  <conditionalFormatting sqref="B13:B24">
    <cfRule type="expression" dxfId="1126" priority="4">
      <formula>$C13&gt;0</formula>
    </cfRule>
  </conditionalFormatting>
  <conditionalFormatting sqref="B25:B39">
    <cfRule type="expression" dxfId="1125" priority="3">
      <formula>$C25&gt;0</formula>
    </cfRule>
  </conditionalFormatting>
  <conditionalFormatting sqref="B40:B54">
    <cfRule type="expression" dxfId="1124" priority="2">
      <formula>$C40&gt;0</formula>
    </cfRule>
  </conditionalFormatting>
  <conditionalFormatting sqref="B57:B66">
    <cfRule type="expression" dxfId="1123" priority="1">
      <formula>$C57&gt;0</formula>
    </cfRule>
  </conditionalFormatting>
  <conditionalFormatting sqref="C13:C54">
    <cfRule type="cellIs" dxfId="1122" priority="13" operator="lessThan">
      <formula>1</formula>
    </cfRule>
  </conditionalFormatting>
  <conditionalFormatting sqref="C57:C66">
    <cfRule type="cellIs" dxfId="1121" priority="29" operator="equal">
      <formula>0</formula>
    </cfRule>
  </conditionalFormatting>
  <conditionalFormatting sqref="C9:D9">
    <cfRule type="cellIs" dxfId="1120" priority="24" operator="greaterThan">
      <formula>0</formula>
    </cfRule>
    <cfRule type="cellIs" dxfId="1119" priority="23" operator="lessThan">
      <formula>0</formula>
    </cfRule>
  </conditionalFormatting>
  <conditionalFormatting sqref="F13:F54">
    <cfRule type="expression" dxfId="1118" priority="12">
      <formula>C13&gt;0</formula>
    </cfRule>
  </conditionalFormatting>
  <conditionalFormatting sqref="F57:F66">
    <cfRule type="expression" dxfId="1117" priority="22">
      <formula>C57&gt;0</formula>
    </cfRule>
  </conditionalFormatting>
  <conditionalFormatting sqref="F58:F66">
    <cfRule type="expression" dxfId="1116" priority="28">
      <formula>C58&lt;1</formula>
    </cfRule>
  </conditionalFormatting>
  <conditionalFormatting sqref="G13:G54">
    <cfRule type="cellIs" dxfId="1115" priority="11" operator="greaterThan">
      <formula>0</formula>
    </cfRule>
  </conditionalFormatting>
  <conditionalFormatting sqref="G57:G66">
    <cfRule type="cellIs" dxfId="1114" priority="21" operator="greaterThan">
      <formula>0</formula>
    </cfRule>
  </conditionalFormatting>
  <conditionalFormatting sqref="H13:H54">
    <cfRule type="expression" dxfId="1113" priority="18">
      <formula>$C$9&gt;0</formula>
    </cfRule>
    <cfRule type="expression" dxfId="1112" priority="19">
      <formula>$C$9&lt;0</formula>
    </cfRule>
  </conditionalFormatting>
  <conditionalFormatting sqref="H57:H66">
    <cfRule type="expression" dxfId="1111" priority="34">
      <formula>$C$9&gt;0</formula>
    </cfRule>
    <cfRule type="expression" dxfId="1110" priority="35">
      <formula>$C$9&lt;0</formula>
    </cfRule>
  </conditionalFormatting>
  <conditionalFormatting sqref="J2:J6 J75:J1048576">
    <cfRule type="expression" dxfId="1109" priority="30">
      <formula>$B$9="EURO"</formula>
    </cfRule>
  </conditionalFormatting>
  <conditionalFormatting sqref="J8:J67">
    <cfRule type="expression" dxfId="1108" priority="14">
      <formula>$B$9="EURO"</formula>
    </cfRule>
  </conditionalFormatting>
  <conditionalFormatting sqref="J9 J56:J66">
    <cfRule type="expression" dxfId="1107" priority="31">
      <formula>$B$9="USD"</formula>
    </cfRule>
    <cfRule type="expression" dxfId="1106" priority="32">
      <formula>$B$9="PLN"</formula>
    </cfRule>
    <cfRule type="expression" dxfId="1105" priority="33">
      <formula>$B$9="CZK"</formula>
    </cfRule>
  </conditionalFormatting>
  <conditionalFormatting sqref="J12:J54">
    <cfRule type="expression" dxfId="1104" priority="17">
      <formula>$B$9="CZK"</formula>
    </cfRule>
    <cfRule type="expression" dxfId="1103" priority="16">
      <formula>$B$9="PLN"</formula>
    </cfRule>
    <cfRule type="expression" dxfId="1102" priority="15">
      <formula>$B$9="USD"</formula>
    </cfRule>
  </conditionalFormatting>
  <conditionalFormatting sqref="J68:J74">
    <cfRule type="expression" dxfId="1101" priority="25">
      <formula>$F$10="EURO"</formula>
    </cfRule>
  </conditionalFormatting>
  <conditionalFormatting sqref="J13:K54">
    <cfRule type="cellIs" dxfId="1100" priority="10" operator="greaterThan">
      <formula>0</formula>
    </cfRule>
  </conditionalFormatting>
  <conditionalFormatting sqref="J57:K66">
    <cfRule type="cellIs" dxfId="1099" priority="20" operator="greaterThan">
      <formula>0</formula>
    </cfRule>
  </conditionalFormatting>
  <conditionalFormatting sqref="M12:P54">
    <cfRule type="expression" dxfId="1098" priority="9">
      <formula>$B$9="CZK"</formula>
    </cfRule>
    <cfRule type="expression" dxfId="1097" priority="8">
      <formula>$B$9="PLN"</formula>
    </cfRule>
    <cfRule type="expression" dxfId="1096" priority="7">
      <formula>$B$9="USD"</formula>
    </cfRule>
    <cfRule type="expression" dxfId="1095" priority="6">
      <formula>$B$9="EURO"</formula>
    </cfRule>
  </conditionalFormatting>
  <conditionalFormatting sqref="M13:P54">
    <cfRule type="cellIs" dxfId="1094" priority="5" operator="greaterThan">
      <formula>0</formula>
    </cfRule>
  </conditionalFormatting>
  <dataValidations count="3">
    <dataValidation type="list" allowBlank="1" showInputMessage="1" showErrorMessage="1" sqref="D13" xr:uid="{00000000-0002-0000-8300-000000000000}">
      <formula1>FanSize</formula1>
    </dataValidation>
    <dataValidation type="list" allowBlank="1" showInputMessage="1" showErrorMessage="1" sqref="D55" xr:uid="{00000000-0002-0000-8300-000001000000}">
      <formula1>$B$3:$B$15</formula1>
    </dataValidation>
    <dataValidation type="list" allowBlank="1" showInputMessage="1" showErrorMessage="1" sqref="D26" xr:uid="{00000000-0002-0000-83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IF('[14]CANOPY (3)'!C3="","",'[14]CANOPY (3)'!C3)</f>
        <v>#REF!</v>
      </c>
      <c r="D3" s="979"/>
      <c r="E3" s="122" t="s">
        <v>4</v>
      </c>
      <c r="F3" s="987" t="e">
        <f>IF('[14]CANOPY (3)'!G3="","",'[14]CANOPY (3)'!G3)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IF('[14]CANOPY (3)'!C5="","",'[14]CANOPY (3)'!C5)</f>
        <v>#REF!</v>
      </c>
      <c r="D5" s="979"/>
      <c r="E5" s="122" t="s">
        <v>8</v>
      </c>
      <c r="F5" s="987" t="e">
        <f>IF('[14]CANOPY (3)'!G5="","",'[14]CANOPY (3)'!G5)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IF('[14]CANOPY (3)'!C7="","",'[14]CANOPY (3)'!C7)</f>
        <v>#REF!</v>
      </c>
      <c r="D7" s="979"/>
      <c r="E7" s="122" t="s">
        <v>12</v>
      </c>
      <c r="F7" s="989" t="e">
        <f>IF('[14]CANOPY (3)'!G7="","",'[14]CANOPY (3)'!G7)</f>
        <v>#REF!</v>
      </c>
      <c r="G7" s="979"/>
      <c r="H7" s="979"/>
      <c r="J7" s="197" t="s">
        <v>14</v>
      </c>
      <c r="K7" s="484" t="e">
        <f>IF('[14]CANOPY (3)'!O7="","",'[14]CANOPY (3)'!O7)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1093" priority="8" operator="containsText" text="SELECT">
      <formula>NOT(ISERROR(SEARCH("SELECT",B10)))</formula>
    </cfRule>
    <cfRule type="expression" dxfId="1092" priority="9">
      <formula>B10="CURRENCY"</formula>
    </cfRule>
  </conditionalFormatting>
  <conditionalFormatting sqref="B14:B41">
    <cfRule type="expression" dxfId="1091" priority="2">
      <formula>$C14&gt;0</formula>
    </cfRule>
  </conditionalFormatting>
  <conditionalFormatting sqref="B44:B55">
    <cfRule type="expression" dxfId="1090" priority="1">
      <formula>$C44&gt;0</formula>
    </cfRule>
  </conditionalFormatting>
  <conditionalFormatting sqref="C14:C41 C44:C55">
    <cfRule type="cellIs" dxfId="1089" priority="12" operator="equal">
      <formula>0</formula>
    </cfRule>
  </conditionalFormatting>
  <conditionalFormatting sqref="C10:D10">
    <cfRule type="cellIs" dxfId="1088" priority="6" operator="lessThan">
      <formula>0</formula>
    </cfRule>
    <cfRule type="cellIs" dxfId="1087" priority="7" operator="greaterThan">
      <formula>0</formula>
    </cfRule>
  </conditionalFormatting>
  <conditionalFormatting sqref="E12:E13">
    <cfRule type="cellIs" dxfId="1086" priority="10" operator="greaterThan">
      <formula>0</formula>
    </cfRule>
    <cfRule type="cellIs" dxfId="1085" priority="11" operator="lessThan">
      <formula>0</formula>
    </cfRule>
  </conditionalFormatting>
  <conditionalFormatting sqref="F14:F41 F44:F55">
    <cfRule type="expression" dxfId="1084" priority="5">
      <formula>C14&gt;0</formula>
    </cfRule>
  </conditionalFormatting>
  <conditionalFormatting sqref="G14:G41 G44:G55">
    <cfRule type="cellIs" dxfId="1083" priority="4" operator="greaterThan">
      <formula>0</formula>
    </cfRule>
  </conditionalFormatting>
  <conditionalFormatting sqref="H14:H41 H44:H55">
    <cfRule type="expression" dxfId="1082" priority="17">
      <formula>$C$10&lt;0</formula>
    </cfRule>
    <cfRule type="expression" dxfId="1081" priority="18">
      <formula>$C$10&gt;0</formula>
    </cfRule>
  </conditionalFormatting>
  <conditionalFormatting sqref="J1:J6 J8:J11 J13:J1048576">
    <cfRule type="expression" dxfId="1080" priority="13">
      <formula>$B$10="EURO"</formula>
    </cfRule>
  </conditionalFormatting>
  <conditionalFormatting sqref="J10 J13:J41 J43:J55">
    <cfRule type="expression" dxfId="1079" priority="14">
      <formula>$B$10="PLN"</formula>
    </cfRule>
    <cfRule type="expression" dxfId="1078" priority="15">
      <formula>$B$10="CZK"</formula>
    </cfRule>
    <cfRule type="expression" dxfId="1077" priority="16">
      <formula>$B$10="USD"</formula>
    </cfRule>
  </conditionalFormatting>
  <conditionalFormatting sqref="J14:K41 J44:K56">
    <cfRule type="cellIs" dxfId="1076" priority="3" operator="greaterThan">
      <formula>0</formula>
    </cfRule>
  </conditionalFormatting>
  <dataValidations count="1">
    <dataValidation type="list" allowBlank="1" showInputMessage="1" showErrorMessage="1" sqref="F12:F13" xr:uid="{00000000-0002-0000-84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IF('[14]CANOPY (3)'!C3="","",'[14]CANOPY (3)'!C3)</f>
        <v>#REF!</v>
      </c>
      <c r="D3" s="990"/>
      <c r="E3" s="129"/>
      <c r="F3" s="132" t="s">
        <v>4</v>
      </c>
      <c r="G3" s="938" t="e">
        <f>IF('[14]CANOPY (3)'!G3="","",'[14]CANOPY (3)'!G3)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IF('[14]CANOPY (3)'!C5="","",'[14]CANOPY (3)'!C5)</f>
        <v>#REF!</v>
      </c>
      <c r="D5" s="990"/>
      <c r="E5" s="131"/>
      <c r="F5" s="132" t="s">
        <v>8</v>
      </c>
      <c r="G5" s="938" t="e">
        <f>IF('[14]CANOPY (3)'!G5="","",'[14]CANOPY (3)'!G5)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IF('[14]CANOPY (3)'!C7="","",'[14]CANOPY (3)'!C7)</f>
        <v>#REF!</v>
      </c>
      <c r="D7" s="990"/>
      <c r="E7" s="135"/>
      <c r="F7" s="136" t="s">
        <v>12</v>
      </c>
      <c r="G7" s="939" t="e">
        <f>IF('[14]CANOPY (3)'!G7="","",'[14]CANOPY (3)'!G7)</f>
        <v>#REF!</v>
      </c>
      <c r="H7" s="990"/>
      <c r="I7" s="51"/>
      <c r="J7" s="280"/>
      <c r="K7" s="280" t="s">
        <v>14</v>
      </c>
      <c r="L7" s="484" t="e">
        <f>IF('[14]CANOPY (3)'!O7="","",'[14]CANOPY (3)'!O7)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1075" priority="26">
      <formula>B9="CURRENCY"</formula>
    </cfRule>
    <cfRule type="containsText" dxfId="1074" priority="25" operator="containsText" text="SELECT">
      <formula>NOT(ISERROR(SEARCH("SELECT",B9)))</formula>
    </cfRule>
  </conditionalFormatting>
  <conditionalFormatting sqref="B15:B29">
    <cfRule type="expression" dxfId="1073" priority="9">
      <formula>$D15&gt;0</formula>
    </cfRule>
  </conditionalFormatting>
  <conditionalFormatting sqref="B49 E49:F49">
    <cfRule type="expression" dxfId="1072" priority="49">
      <formula>C40="select controls"</formula>
    </cfRule>
  </conditionalFormatting>
  <conditionalFormatting sqref="C13">
    <cfRule type="containsText" dxfId="1071" priority="29" operator="containsText" text="SELECT">
      <formula>NOT(ISERROR(SEARCH("SELECT",C13)))</formula>
    </cfRule>
  </conditionalFormatting>
  <conditionalFormatting sqref="C15:C22">
    <cfRule type="containsText" dxfId="1070" priority="15" operator="containsText" text="SIZE">
      <formula>NOT(ISERROR(SEARCH("SIZE",C15)))</formula>
    </cfRule>
  </conditionalFormatting>
  <conditionalFormatting sqref="C25">
    <cfRule type="containsText" dxfId="1069" priority="37" operator="containsText" text="SELECT CONTROLS">
      <formula>NOT(ISERROR(SEARCH("SELECT CONTROLS",C25)))</formula>
    </cfRule>
  </conditionalFormatting>
  <conditionalFormatting sqref="C26">
    <cfRule type="expression" dxfId="1068" priority="32">
      <formula>$C$25="SMARTEC"</formula>
    </cfRule>
    <cfRule type="containsText" dxfId="1067" priority="31" operator="containsText" text="st/st">
      <formula>NOT(ISERROR(SEARCH("st/st",C26)))</formula>
    </cfRule>
  </conditionalFormatting>
  <conditionalFormatting sqref="C31:C32">
    <cfRule type="cellIs" dxfId="1066" priority="20" operator="greaterThan">
      <formula>0</formula>
    </cfRule>
  </conditionalFormatting>
  <conditionalFormatting sqref="C52:C61">
    <cfRule type="cellIs" dxfId="1065" priority="28" operator="lessThan">
      <formula>1</formula>
    </cfRule>
  </conditionalFormatting>
  <conditionalFormatting sqref="C9:D9">
    <cfRule type="cellIs" dxfId="1064" priority="23" operator="lessThan">
      <formula>0</formula>
    </cfRule>
    <cfRule type="cellIs" dxfId="1063" priority="24" operator="greaterThan">
      <formula>0</formula>
    </cfRule>
  </conditionalFormatting>
  <conditionalFormatting sqref="C29:D29">
    <cfRule type="expression" dxfId="1062" priority="36">
      <formula>$C$25="REMOTE TOUCH SCREEN"</formula>
    </cfRule>
    <cfRule type="expression" dxfId="1061" priority="35">
      <formula>$C$25="SMARTEC"</formula>
    </cfRule>
  </conditionalFormatting>
  <conditionalFormatting sqref="D26">
    <cfRule type="expression" dxfId="1060" priority="33">
      <formula>C25="SMARTEC"</formula>
    </cfRule>
    <cfRule type="expression" dxfId="1059" priority="30">
      <formula>C26="st/st enclosure"</formula>
    </cfRule>
  </conditionalFormatting>
  <conditionalFormatting sqref="D29">
    <cfRule type="expression" dxfId="1058" priority="34">
      <formula>$C$25="SMARTEC"</formula>
    </cfRule>
  </conditionalFormatting>
  <conditionalFormatting sqref="D38">
    <cfRule type="expression" dxfId="1057" priority="48">
      <formula>#REF!="SMARTEC"</formula>
    </cfRule>
    <cfRule type="expression" dxfId="1056" priority="47">
      <formula>C38="st/st enclosure"</formula>
    </cfRule>
  </conditionalFormatting>
  <conditionalFormatting sqref="E39:E43">
    <cfRule type="expression" dxfId="1055" priority="46">
      <formula>#REF!="select controls"</formula>
    </cfRule>
  </conditionalFormatting>
  <conditionalFormatting sqref="E44:F45 B45:B48 E46:E47 E48:F48">
    <cfRule type="expression" dxfId="1054" priority="27">
      <formula>C38="select controls"</formula>
    </cfRule>
  </conditionalFormatting>
  <conditionalFormatting sqref="F40">
    <cfRule type="expression" dxfId="1053" priority="1">
      <formula>G34="select controls"</formula>
    </cfRule>
  </conditionalFormatting>
  <conditionalFormatting sqref="G15:G36">
    <cfRule type="cellIs" dxfId="1052" priority="2" operator="greaterThan">
      <formula>0</formula>
    </cfRule>
  </conditionalFormatting>
  <conditionalFormatting sqref="G38:G49">
    <cfRule type="cellIs" dxfId="1051" priority="18" operator="greaterThan">
      <formula>0</formula>
    </cfRule>
  </conditionalFormatting>
  <conditionalFormatting sqref="G52:G61">
    <cfRule type="expression" dxfId="1050" priority="8">
      <formula>C52&gt;0</formula>
    </cfRule>
  </conditionalFormatting>
  <conditionalFormatting sqref="H13 J13 L13">
    <cfRule type="expression" dxfId="1049" priority="38">
      <formula>$B$9="EURO"</formula>
    </cfRule>
  </conditionalFormatting>
  <conditionalFormatting sqref="H15:H61">
    <cfRule type="cellIs" dxfId="1048" priority="19" operator="greaterThan">
      <formula>0</formula>
    </cfRule>
  </conditionalFormatting>
  <conditionalFormatting sqref="I15:I36 I38:I49 I52:I61">
    <cfRule type="expression" dxfId="1047" priority="44">
      <formula>$C$9&lt;0</formula>
    </cfRule>
    <cfRule type="expression" dxfId="1046" priority="43">
      <formula>$C$9&gt;0</formula>
    </cfRule>
  </conditionalFormatting>
  <conditionalFormatting sqref="J37">
    <cfRule type="expression" dxfId="1045" priority="42">
      <formula>$B$9="EURO"</formula>
    </cfRule>
    <cfRule type="expression" dxfId="1044" priority="41">
      <formula>$B$9="USD"</formula>
    </cfRule>
    <cfRule type="expression" dxfId="1043" priority="40">
      <formula>$B$9="CZK"</formula>
    </cfRule>
    <cfRule type="expression" dxfId="1042" priority="39">
      <formula>$B$9="PLN"</formula>
    </cfRule>
  </conditionalFormatting>
  <conditionalFormatting sqref="J63:J69">
    <cfRule type="expression" dxfId="1041" priority="45">
      <formula>#REF!="EURO"</formula>
    </cfRule>
  </conditionalFormatting>
  <conditionalFormatting sqref="K1:K36">
    <cfRule type="expression" dxfId="1040" priority="5">
      <formula>$B$9="USD"</formula>
    </cfRule>
    <cfRule type="expression" dxfId="1039" priority="4">
      <formula>$B$9="EURO"</formula>
    </cfRule>
    <cfRule type="expression" dxfId="1038" priority="6">
      <formula>$B$9="PLN"</formula>
    </cfRule>
  </conditionalFormatting>
  <conditionalFormatting sqref="K1:K1048576">
    <cfRule type="expression" dxfId="1037" priority="7">
      <formula>$B$9="CZK"</formula>
    </cfRule>
  </conditionalFormatting>
  <conditionalFormatting sqref="K15:K36">
    <cfRule type="cellIs" dxfId="1036" priority="3" operator="greaterThan">
      <formula>0</formula>
    </cfRule>
  </conditionalFormatting>
  <conditionalFormatting sqref="K38:K49">
    <cfRule type="cellIs" dxfId="1035" priority="14" operator="greaterThan">
      <formula>0</formula>
    </cfRule>
  </conditionalFormatting>
  <conditionalFormatting sqref="K38:K1048576">
    <cfRule type="expression" dxfId="1034" priority="11">
      <formula>$B$9="EURO"</formula>
    </cfRule>
    <cfRule type="expression" dxfId="1033" priority="12">
      <formula>$B$9="USD"</formula>
    </cfRule>
    <cfRule type="expression" dxfId="1032" priority="13">
      <formula>$B$9="PLN"</formula>
    </cfRule>
  </conditionalFormatting>
  <conditionalFormatting sqref="K50">
    <cfRule type="cellIs" dxfId="1031" priority="22" operator="greaterThan">
      <formula>0</formula>
    </cfRule>
  </conditionalFormatting>
  <conditionalFormatting sqref="K52:K61">
    <cfRule type="cellIs" dxfId="1030" priority="10" operator="greaterThan">
      <formula>0</formula>
    </cfRule>
  </conditionalFormatting>
  <conditionalFormatting sqref="L15:L36 L52:L61">
    <cfRule type="cellIs" dxfId="1029" priority="21" operator="greaterThan">
      <formula>0</formula>
    </cfRule>
  </conditionalFormatting>
  <conditionalFormatting sqref="L38:L49">
    <cfRule type="cellIs" dxfId="1028" priority="17" operator="greaterThan">
      <formula>0</formula>
    </cfRule>
  </conditionalFormatting>
  <conditionalFormatting sqref="U40">
    <cfRule type="cellIs" dxfId="1027" priority="16"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8500-000000000000}">
      <formula1>#REF!</formula1>
    </dataValidation>
    <dataValidation type="list" allowBlank="1" showInputMessage="1" showErrorMessage="1" sqref="C13" xr:uid="{00000000-0002-0000-8500-000001000000}">
      <formula1>"SELECT MODEL,INTERNAL,EXTERNAL"</formula1>
    </dataValidation>
    <dataValidation type="list" allowBlank="1" showInputMessage="1" showErrorMessage="1" sqref="C25" xr:uid="{00000000-0002-0000-85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IF('[14]CANOPY (3)'!C3="","",'[14]CANOPY (3)'!C3)</f>
        <v>#REF!</v>
      </c>
      <c r="D3" s="990"/>
      <c r="E3" s="129"/>
      <c r="F3" s="132" t="s">
        <v>4</v>
      </c>
      <c r="G3" s="938" t="e">
        <f>IF('[14]CANOPY (3)'!G3="","",'[14]CANOPY (3)'!G3)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IF('[14]CANOPY (3)'!C5="","",'[14]CANOPY (3)'!C5)</f>
        <v>#REF!</v>
      </c>
      <c r="D5" s="990"/>
      <c r="E5" s="131"/>
      <c r="F5" s="132" t="s">
        <v>8</v>
      </c>
      <c r="G5" s="938" t="e">
        <f>IF('[14]CANOPY (3)'!G5="","",'[14]CANOPY (3)'!G5)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IF('[14]CANOPY (3)'!C7="","",'[14]CANOPY (3)'!C7)</f>
        <v>#REF!</v>
      </c>
      <c r="D7" s="990"/>
      <c r="E7" s="135"/>
      <c r="F7" s="136" t="s">
        <v>12</v>
      </c>
      <c r="G7" s="939" t="e">
        <f>IF('[14]CANOPY (3)'!G7="","",'[14]CANOPY (3)'!G7)</f>
        <v>#REF!</v>
      </c>
      <c r="H7" s="990"/>
      <c r="I7" s="51"/>
      <c r="J7" s="280"/>
      <c r="K7" s="280" t="s">
        <v>14</v>
      </c>
      <c r="L7" s="484" t="e">
        <f>IF('[14]CANOPY (3)'!O7="","",'[14]CANOPY (3)'!O7)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1026" priority="30">
      <formula>B9="CURRENCY"</formula>
    </cfRule>
    <cfRule type="containsText" dxfId="1025" priority="29" operator="containsText" text="SELECT">
      <formula>NOT(ISERROR(SEARCH("SELECT",B9)))</formula>
    </cfRule>
  </conditionalFormatting>
  <conditionalFormatting sqref="B15:B30">
    <cfRule type="expression" dxfId="1024" priority="2">
      <formula>$D15&gt;0</formula>
    </cfRule>
  </conditionalFormatting>
  <conditionalFormatting sqref="B50 E50:F50">
    <cfRule type="expression" dxfId="1023" priority="53">
      <formula>C41="select controls"</formula>
    </cfRule>
  </conditionalFormatting>
  <conditionalFormatting sqref="C13">
    <cfRule type="containsText" dxfId="1022" priority="33" operator="containsText" text="SELECT">
      <formula>NOT(ISERROR(SEARCH("SELECT",C13)))</formula>
    </cfRule>
  </conditionalFormatting>
  <conditionalFormatting sqref="C15:C23">
    <cfRule type="containsText" dxfId="1021" priority="8" operator="containsText" text="SIZE">
      <formula>NOT(ISERROR(SEARCH("SIZE",C15)))</formula>
    </cfRule>
  </conditionalFormatting>
  <conditionalFormatting sqref="C26">
    <cfRule type="containsText" dxfId="1020" priority="41" operator="containsText" text="SELECT CONTROLS">
      <formula>NOT(ISERROR(SEARCH("SELECT CONTROLS",C26)))</formula>
    </cfRule>
  </conditionalFormatting>
  <conditionalFormatting sqref="C27">
    <cfRule type="expression" dxfId="1019" priority="36">
      <formula>$C$26="SMARTEC"</formula>
    </cfRule>
    <cfRule type="containsText" dxfId="1018" priority="35" operator="containsText" text="st/st">
      <formula>NOT(ISERROR(SEARCH("st/st",C27)))</formula>
    </cfRule>
  </conditionalFormatting>
  <conditionalFormatting sqref="C32:C33">
    <cfRule type="cellIs" dxfId="1017" priority="24" operator="greaterThan">
      <formula>0</formula>
    </cfRule>
  </conditionalFormatting>
  <conditionalFormatting sqref="C53:C62">
    <cfRule type="cellIs" dxfId="1016" priority="32" operator="lessThan">
      <formula>1</formula>
    </cfRule>
  </conditionalFormatting>
  <conditionalFormatting sqref="C9:D9">
    <cfRule type="cellIs" dxfId="1015" priority="27" operator="lessThan">
      <formula>0</formula>
    </cfRule>
    <cfRule type="cellIs" dxfId="1014" priority="28" operator="greaterThan">
      <formula>0</formula>
    </cfRule>
  </conditionalFormatting>
  <conditionalFormatting sqref="C30:D30">
    <cfRule type="expression" dxfId="1013" priority="40">
      <formula>$C$26="REMOTE TOUCH SCREEN"</formula>
    </cfRule>
    <cfRule type="expression" dxfId="1012" priority="39">
      <formula>$C$26="SMARTEC"</formula>
    </cfRule>
  </conditionalFormatting>
  <conditionalFormatting sqref="D27">
    <cfRule type="expression" dxfId="1011" priority="37">
      <formula>C26="SMARTEC"</formula>
    </cfRule>
    <cfRule type="expression" dxfId="1010" priority="34">
      <formula>C27="st/st enclosure"</formula>
    </cfRule>
  </conditionalFormatting>
  <conditionalFormatting sqref="D30">
    <cfRule type="expression" dxfId="1009" priority="38">
      <formula>$C$26="SMARTEC"</formula>
    </cfRule>
  </conditionalFormatting>
  <conditionalFormatting sqref="D39">
    <cfRule type="expression" dxfId="1008" priority="52">
      <formula>#REF!="SMARTEC"</formula>
    </cfRule>
    <cfRule type="expression" dxfId="1007" priority="51">
      <formula>C39="st/st enclosure"</formula>
    </cfRule>
  </conditionalFormatting>
  <conditionalFormatting sqref="E40:E44">
    <cfRule type="expression" dxfId="1006" priority="50">
      <formula>#REF!="select controls"</formula>
    </cfRule>
  </conditionalFormatting>
  <conditionalFormatting sqref="E45 E46:F46 B46:B47 E47:E48 B49 E49:F49">
    <cfRule type="expression" dxfId="1005" priority="31">
      <formula>C39="select controls"</formula>
    </cfRule>
  </conditionalFormatting>
  <conditionalFormatting sqref="F41:F45">
    <cfRule type="expression" dxfId="1004" priority="1">
      <formula>G35="select controls"</formula>
    </cfRule>
  </conditionalFormatting>
  <conditionalFormatting sqref="G15:G37">
    <cfRule type="cellIs" dxfId="1003" priority="9" operator="greaterThan">
      <formula>0</formula>
    </cfRule>
  </conditionalFormatting>
  <conditionalFormatting sqref="G39:G50">
    <cfRule type="cellIs" dxfId="1002" priority="14" operator="greaterThan">
      <formula>0</formula>
    </cfRule>
  </conditionalFormatting>
  <conditionalFormatting sqref="G53:G62">
    <cfRule type="expression" dxfId="1001" priority="15">
      <formula>C53&gt;0</formula>
    </cfRule>
  </conditionalFormatting>
  <conditionalFormatting sqref="H13 J13 L13">
    <cfRule type="expression" dxfId="1000" priority="42">
      <formula>$B$9="EURO"</formula>
    </cfRule>
  </conditionalFormatting>
  <conditionalFormatting sqref="H23">
    <cfRule type="cellIs" dxfId="999" priority="11" operator="greaterThan">
      <formula>0</formula>
    </cfRule>
  </conditionalFormatting>
  <conditionalFormatting sqref="H25:H62">
    <cfRule type="cellIs" dxfId="998" priority="23" operator="greaterThan">
      <formula>0</formula>
    </cfRule>
  </conditionalFormatting>
  <conditionalFormatting sqref="H15:L22 L53:L62">
    <cfRule type="cellIs" dxfId="997" priority="25" operator="greaterThan">
      <formula>0</formula>
    </cfRule>
  </conditionalFormatting>
  <conditionalFormatting sqref="I15:I37">
    <cfRule type="expression" dxfId="996" priority="12">
      <formula>$C$9&gt;0</formula>
    </cfRule>
  </conditionalFormatting>
  <conditionalFormatting sqref="I23:I37">
    <cfRule type="expression" dxfId="995" priority="13">
      <formula>$C$9&lt;0</formula>
    </cfRule>
  </conditionalFormatting>
  <conditionalFormatting sqref="I39:I50 I53:I62 I15:I22">
    <cfRule type="expression" dxfId="994" priority="48">
      <formula>$C$9&lt;0</formula>
    </cfRule>
  </conditionalFormatting>
  <conditionalFormatting sqref="I39:I50 I53:I62">
    <cfRule type="expression" dxfId="993" priority="47">
      <formula>$C$9&gt;0</formula>
    </cfRule>
  </conditionalFormatting>
  <conditionalFormatting sqref="J38">
    <cfRule type="expression" dxfId="992" priority="43">
      <formula>$B$9="PLN"</formula>
    </cfRule>
    <cfRule type="expression" dxfId="991" priority="44">
      <formula>$B$9="CZK"</formula>
    </cfRule>
    <cfRule type="expression" dxfId="990" priority="45">
      <formula>$B$9="USD"</formula>
    </cfRule>
    <cfRule type="expression" dxfId="989" priority="46">
      <formula>$B$9="EURO"</formula>
    </cfRule>
  </conditionalFormatting>
  <conditionalFormatting sqref="J64:J70">
    <cfRule type="expression" dxfId="988" priority="49">
      <formula>#REF!="EURO"</formula>
    </cfRule>
  </conditionalFormatting>
  <conditionalFormatting sqref="K1:K37">
    <cfRule type="expression" dxfId="987" priority="5">
      <formula>$B$9="USD"</formula>
    </cfRule>
    <cfRule type="expression" dxfId="986" priority="4">
      <formula>$B$9="EURO"</formula>
    </cfRule>
    <cfRule type="expression" dxfId="985" priority="6">
      <formula>$B$9="PLN"</formula>
    </cfRule>
  </conditionalFormatting>
  <conditionalFormatting sqref="K1:K1048576">
    <cfRule type="expression" dxfId="984" priority="7">
      <formula>$B$9="CZK"</formula>
    </cfRule>
  </conditionalFormatting>
  <conditionalFormatting sqref="K15:K37">
    <cfRule type="cellIs" dxfId="983" priority="3" operator="greaterThan">
      <formula>0</formula>
    </cfRule>
  </conditionalFormatting>
  <conditionalFormatting sqref="K39:K50">
    <cfRule type="cellIs" dxfId="982" priority="20" operator="greaterThan">
      <formula>0</formula>
    </cfRule>
  </conditionalFormatting>
  <conditionalFormatting sqref="K39:K1048576">
    <cfRule type="expression" dxfId="981" priority="19">
      <formula>$B$9="PLN"</formula>
    </cfRule>
    <cfRule type="expression" dxfId="980" priority="18">
      <formula>$B$9="USD"</formula>
    </cfRule>
    <cfRule type="expression" dxfId="979" priority="17">
      <formula>$B$9="EURO"</formula>
    </cfRule>
  </conditionalFormatting>
  <conditionalFormatting sqref="K51">
    <cfRule type="cellIs" dxfId="978" priority="26" operator="greaterThan">
      <formula>0</formula>
    </cfRule>
  </conditionalFormatting>
  <conditionalFormatting sqref="K53:K62">
    <cfRule type="cellIs" dxfId="977" priority="16" operator="greaterThan">
      <formula>0</formula>
    </cfRule>
  </conditionalFormatting>
  <conditionalFormatting sqref="L23:L37">
    <cfRule type="cellIs" dxfId="976" priority="10" operator="greaterThan">
      <formula>0</formula>
    </cfRule>
  </conditionalFormatting>
  <conditionalFormatting sqref="L39:L50">
    <cfRule type="cellIs" dxfId="975" priority="22" operator="greaterThan">
      <formula>0</formula>
    </cfRule>
  </conditionalFormatting>
  <conditionalFormatting sqref="T41">
    <cfRule type="cellIs" dxfId="974" priority="21" operator="greaterThan">
      <formula>0</formula>
    </cfRule>
  </conditionalFormatting>
  <dataValidations count="3">
    <dataValidation type="list" allowBlank="1" showInputMessage="1" showErrorMessage="1" sqref="C26" xr:uid="{00000000-0002-0000-8600-000000000000}">
      <formula1>"SELECT CONTROLS,SMARTEC, REMOTE TOUCH SCREEN"</formula1>
    </dataValidation>
    <dataValidation type="list" allowBlank="1" showInputMessage="1" showErrorMessage="1" sqref="C13" xr:uid="{00000000-0002-0000-86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86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IF('[14]CANOPY (3)'!C3="","",'[14]CANOPY (3)'!C3)</f>
        <v>#REF!</v>
      </c>
      <c r="E3" s="934"/>
      <c r="G3" s="71" t="s">
        <v>4</v>
      </c>
      <c r="H3" s="935" t="e">
        <f>IF('[14]CANOPY (3)'!G3="","",'[14]CANOPY (3)'!G3)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IF('[14]CANOPY (3)'!C5="","",'[14]CANOPY (3)'!C5)</f>
        <v>#REF!</v>
      </c>
      <c r="E5" s="934"/>
      <c r="G5" s="71" t="s">
        <v>8</v>
      </c>
      <c r="H5" s="935" t="e">
        <f>IF('[14]CANOPY (3)'!G5="","",'[14]CANOPY (3)'!G5)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IF('[14]CANOPY (3)'!C7="","",'[14]CANOPY (3)'!C7)</f>
        <v>#REF!</v>
      </c>
      <c r="E7" s="934"/>
      <c r="G7" s="71" t="s">
        <v>12</v>
      </c>
      <c r="H7" s="939" t="e">
        <f>IF('[14]CANOPY (3)'!G7="","",'[14]CANOPY (3)'!G7)</f>
        <v>#REF!</v>
      </c>
      <c r="I7" s="936"/>
      <c r="J7" s="937"/>
      <c r="N7" s="266" t="s">
        <v>14</v>
      </c>
      <c r="O7" s="787" t="e">
        <f>IF('[14]CANOPY (3)'!O7="","",'[14]CANOPY (3)'!O7)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973" priority="26">
      <formula>C9="CURRENCY"</formula>
    </cfRule>
    <cfRule type="containsText" dxfId="972" priority="25" operator="containsText" text="SELECT">
      <formula>NOT(ISERROR(SEARCH("SELECT",C9)))</formula>
    </cfRule>
  </conditionalFormatting>
  <conditionalFormatting sqref="C14:C23">
    <cfRule type="expression" dxfId="971" priority="1">
      <formula>$J14&gt;0</formula>
    </cfRule>
  </conditionalFormatting>
  <conditionalFormatting sqref="C27:C37">
    <cfRule type="expression" dxfId="970" priority="10">
      <formula>$D27&gt;0</formula>
    </cfRule>
  </conditionalFormatting>
  <conditionalFormatting sqref="D27:D28 D30:D37">
    <cfRule type="cellIs" dxfId="969" priority="27" operator="lessThan">
      <formula>1</formula>
    </cfRule>
  </conditionalFormatting>
  <conditionalFormatting sqref="D29">
    <cfRule type="cellIs" dxfId="968" priority="22" operator="lessThan">
      <formula>1</formula>
    </cfRule>
  </conditionalFormatting>
  <conditionalFormatting sqref="D9:E9">
    <cfRule type="cellIs" dxfId="967" priority="23" operator="lessThan">
      <formula>0</formula>
    </cfRule>
    <cfRule type="cellIs" dxfId="966" priority="24" operator="greaterThan">
      <formula>0</formula>
    </cfRule>
  </conditionalFormatting>
  <conditionalFormatting sqref="F12">
    <cfRule type="cellIs" dxfId="965" priority="37" operator="greaterThan">
      <formula>2000</formula>
    </cfRule>
    <cfRule type="expression" dxfId="964" priority="36">
      <formula>ISNUMBER(SEARCH("I-MUAP",#REF!))</formula>
    </cfRule>
    <cfRule type="expression" dxfId="963" priority="35">
      <formula>AND((ISNUMBER(SEARCH("I-MUAP",#REF!))),F12&lt;2500)</formula>
    </cfRule>
  </conditionalFormatting>
  <conditionalFormatting sqref="F12:G12">
    <cfRule type="cellIs" dxfId="962" priority="28" operator="lessThan">
      <formula>1000</formula>
    </cfRule>
  </conditionalFormatting>
  <conditionalFormatting sqref="F14:G19">
    <cfRule type="cellIs" dxfId="961" priority="3" operator="lessThan">
      <formula>1000</formula>
    </cfRule>
  </conditionalFormatting>
  <conditionalFormatting sqref="G12">
    <cfRule type="cellIs" dxfId="960" priority="29" operator="greaterThan">
      <formula>3001</formula>
    </cfRule>
  </conditionalFormatting>
  <conditionalFormatting sqref="H11">
    <cfRule type="expression" dxfId="959" priority="38">
      <formula>((#REF!-50)/#REF!)&lt;950</formula>
    </cfRule>
  </conditionalFormatting>
  <conditionalFormatting sqref="H12">
    <cfRule type="expression" dxfId="958" priority="39">
      <formula>((#REF!-50)/#REF!)&lt;950</formula>
    </cfRule>
  </conditionalFormatting>
  <conditionalFormatting sqref="H14:H19">
    <cfRule type="cellIs" dxfId="957" priority="4" operator="lessThan">
      <formula>400</formula>
    </cfRule>
  </conditionalFormatting>
  <conditionalFormatting sqref="H24">
    <cfRule type="expression" dxfId="956" priority="34">
      <formula>((#REF!-50)/#REF!)&lt;950</formula>
    </cfRule>
  </conditionalFormatting>
  <conditionalFormatting sqref="J14:J21">
    <cfRule type="cellIs" dxfId="955" priority="15" operator="greaterThan">
      <formula>0</formula>
    </cfRule>
  </conditionalFormatting>
  <conditionalFormatting sqref="J27:J37">
    <cfRule type="expression" dxfId="954" priority="16">
      <formula>D27&gt;0</formula>
    </cfRule>
  </conditionalFormatting>
  <conditionalFormatting sqref="J39:J45">
    <cfRule type="expression" dxfId="953" priority="44">
      <formula>#REF!="EURO"</formula>
    </cfRule>
  </conditionalFormatting>
  <conditionalFormatting sqref="K14:K23 N14:O23">
    <cfRule type="cellIs" dxfId="952" priority="2" operator="greaterThan">
      <formula>0</formula>
    </cfRule>
  </conditionalFormatting>
  <conditionalFormatting sqref="K27:K37">
    <cfRule type="cellIs" dxfId="951" priority="21" operator="greaterThan">
      <formula>0</formula>
    </cfRule>
  </conditionalFormatting>
  <conditionalFormatting sqref="K39:K45">
    <cfRule type="expression" dxfId="950" priority="40">
      <formula>$C$9="PLN"</formula>
    </cfRule>
    <cfRule type="expression" dxfId="949" priority="41">
      <formula>$C$9="CZK"</formula>
    </cfRule>
    <cfRule type="expression" dxfId="948" priority="42">
      <formula>$C$9="USD"</formula>
    </cfRule>
    <cfRule type="expression" dxfId="947" priority="43">
      <formula>$C$9="EURO"</formula>
    </cfRule>
  </conditionalFormatting>
  <conditionalFormatting sqref="L14:L23">
    <cfRule type="expression" dxfId="946" priority="14">
      <formula>$D$9&gt;0</formula>
    </cfRule>
    <cfRule type="expression" dxfId="945" priority="13">
      <formula>$D$9&lt;0</formula>
    </cfRule>
  </conditionalFormatting>
  <conditionalFormatting sqref="L27:L37">
    <cfRule type="expression" dxfId="944" priority="12">
      <formula>$D$9&gt;0</formula>
    </cfRule>
    <cfRule type="expression" dxfId="943" priority="11">
      <formula>$D$9&lt;0</formula>
    </cfRule>
  </conditionalFormatting>
  <conditionalFormatting sqref="N9 N12">
    <cfRule type="expression" dxfId="942" priority="30">
      <formula>$C$9="PLN"</formula>
    </cfRule>
    <cfRule type="expression" dxfId="941" priority="31">
      <formula>$C$9="CZK"</formula>
    </cfRule>
    <cfRule type="expression" dxfId="940" priority="32">
      <formula>$C$9="USD"</formula>
    </cfRule>
    <cfRule type="expression" dxfId="939" priority="33">
      <formula>$C$9="EURO"</formula>
    </cfRule>
  </conditionalFormatting>
  <conditionalFormatting sqref="N14:N23">
    <cfRule type="expression" dxfId="938" priority="20">
      <formula>$C$9="EURO"</formula>
    </cfRule>
    <cfRule type="expression" dxfId="937" priority="19">
      <formula>$C$9="USD"</formula>
    </cfRule>
    <cfRule type="expression" dxfId="936" priority="18">
      <formula>$C$9="CZK"</formula>
    </cfRule>
    <cfRule type="expression" dxfId="935" priority="17">
      <formula>$C$9="PLN"</formula>
    </cfRule>
  </conditionalFormatting>
  <conditionalFormatting sqref="N26:N37">
    <cfRule type="expression" dxfId="934" priority="6">
      <formula>$C$9="PLN"</formula>
    </cfRule>
    <cfRule type="expression" dxfId="933" priority="7">
      <formula>$C$9="CZK"</formula>
    </cfRule>
    <cfRule type="expression" dxfId="932" priority="9">
      <formula>$C$9="EURO"</formula>
    </cfRule>
    <cfRule type="expression" dxfId="931" priority="8">
      <formula>$C$9="USD"</formula>
    </cfRule>
  </conditionalFormatting>
  <conditionalFormatting sqref="N27:O37">
    <cfRule type="cellIs" dxfId="930" priority="5" operator="greaterThan">
      <formula>0</formula>
    </cfRule>
  </conditionalFormatting>
  <dataValidations count="3">
    <dataValidation operator="greaterThan" allowBlank="1" showInputMessage="1" showErrorMessage="1" sqref="F14:F19" xr:uid="{00000000-0002-0000-8700-000000000000}"/>
    <dataValidation type="list" allowBlank="1" showInputMessage="1" showErrorMessage="1" sqref="E14:E23" xr:uid="{00000000-0002-0000-8700-000001000000}">
      <formula1>"0,1,2,3,4,5,6,7,8,9,10,11,12,13,14,15,16,17,18,19,20"</formula1>
    </dataValidation>
    <dataValidation type="list" allowBlank="1" showInputMessage="1" showErrorMessage="1" sqref="H25" xr:uid="{00000000-0002-0000-87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IF('[14]CANOPY (3)'!C3="","",'[14]CANOPY (3)'!C3)</f>
        <v>#REF!</v>
      </c>
      <c r="E3" s="934"/>
      <c r="G3" s="71" t="s">
        <v>4</v>
      </c>
      <c r="H3" s="935" t="e">
        <f>IF('[14]CANOPY (3)'!G3="","",'[14]CANOPY (3)'!G3)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IF('[14]CANOPY (3)'!C5="","",'[14]CANOPY (3)'!C5)</f>
        <v>#REF!</v>
      </c>
      <c r="E5" s="934"/>
      <c r="G5" s="71" t="s">
        <v>8</v>
      </c>
      <c r="H5" s="935" t="e">
        <f>IF('[14]CANOPY (3)'!G5="","",'[14]CANOPY (3)'!G5)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IF('[14]CANOPY (3)'!C7="","",'[14]CANOPY (3)'!C7)</f>
        <v>#REF!</v>
      </c>
      <c r="E7" s="934"/>
      <c r="G7" s="71" t="s">
        <v>12</v>
      </c>
      <c r="H7" s="939" t="e">
        <f>IF('[14]CANOPY (3)'!G7="","",'[14]CANOPY (3)'!G7)</f>
        <v>#REF!</v>
      </c>
      <c r="I7" s="936"/>
      <c r="J7" s="937"/>
      <c r="N7" s="266" t="s">
        <v>14</v>
      </c>
      <c r="O7" s="787" t="e">
        <f>IF('[14]CANOPY (3)'!O7="","",'[14]CANOPY (3)'!O7)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929" priority="34">
      <formula>C9="CURRENCY"</formula>
    </cfRule>
    <cfRule type="containsText" dxfId="928" priority="33" operator="containsText" text="SELECT">
      <formula>NOT(ISERROR(SEARCH("SELECT",C9)))</formula>
    </cfRule>
  </conditionalFormatting>
  <conditionalFormatting sqref="C14:C32">
    <cfRule type="expression" dxfId="927" priority="10">
      <formula>$J14&gt;0</formula>
    </cfRule>
  </conditionalFormatting>
  <conditionalFormatting sqref="C36:C46">
    <cfRule type="expression" dxfId="926" priority="9">
      <formula>$D36&gt;0</formula>
    </cfRule>
  </conditionalFormatting>
  <conditionalFormatting sqref="D36:D37 D39:D46">
    <cfRule type="cellIs" dxfId="925" priority="35" operator="lessThan">
      <formula>1</formula>
    </cfRule>
  </conditionalFormatting>
  <conditionalFormatting sqref="D38">
    <cfRule type="cellIs" dxfId="924" priority="30" operator="lessThan">
      <formula>1</formula>
    </cfRule>
  </conditionalFormatting>
  <conditionalFormatting sqref="D9:E9">
    <cfRule type="cellIs" dxfId="923" priority="32" operator="greaterThan">
      <formula>0</formula>
    </cfRule>
    <cfRule type="cellIs" dxfId="922" priority="31" operator="lessThan">
      <formula>0</formula>
    </cfRule>
  </conditionalFormatting>
  <conditionalFormatting sqref="F12">
    <cfRule type="cellIs" dxfId="921" priority="42" operator="greaterThan">
      <formula>2000</formula>
    </cfRule>
    <cfRule type="expression" dxfId="920" priority="41">
      <formula>ISNUMBER(SEARCH("I-MUAP",$E$14))</formula>
    </cfRule>
    <cfRule type="expression" dxfId="919" priority="40">
      <formula>AND((ISNUMBER(SEARCH("I-MUAP",$E$14))),F12&lt;2500)</formula>
    </cfRule>
  </conditionalFormatting>
  <conditionalFormatting sqref="F12:G12">
    <cfRule type="cellIs" dxfId="918" priority="36" operator="lessThan">
      <formula>1000</formula>
    </cfRule>
  </conditionalFormatting>
  <conditionalFormatting sqref="F14:G26">
    <cfRule type="cellIs" dxfId="917" priority="2" operator="lessThan">
      <formula>1000</formula>
    </cfRule>
  </conditionalFormatting>
  <conditionalFormatting sqref="G12">
    <cfRule type="cellIs" dxfId="916" priority="37" operator="greaterThan">
      <formula>3001</formula>
    </cfRule>
  </conditionalFormatting>
  <conditionalFormatting sqref="H11">
    <cfRule type="expression" dxfId="915" priority="39">
      <formula>((G14-50)/I14)&lt;950</formula>
    </cfRule>
  </conditionalFormatting>
  <conditionalFormatting sqref="H12">
    <cfRule type="expression" dxfId="914" priority="38">
      <formula>((G14-50)/I14)&lt;950</formula>
    </cfRule>
  </conditionalFormatting>
  <conditionalFormatting sqref="H14:H26">
    <cfRule type="cellIs" dxfId="913" priority="3" operator="lessThan">
      <formula>400</formula>
    </cfRule>
  </conditionalFormatting>
  <conditionalFormatting sqref="H33">
    <cfRule type="expression" dxfId="912" priority="47">
      <formula>((#REF!-50)/#REF!)&lt;950</formula>
    </cfRule>
  </conditionalFormatting>
  <conditionalFormatting sqref="J14:J30">
    <cfRule type="cellIs" dxfId="911" priority="15" operator="greaterThan">
      <formula>0</formula>
    </cfRule>
  </conditionalFormatting>
  <conditionalFormatting sqref="J36:J46">
    <cfRule type="expression" dxfId="910" priority="23">
      <formula>D36&gt;0</formula>
    </cfRule>
  </conditionalFormatting>
  <conditionalFormatting sqref="J48:J54">
    <cfRule type="expression" dxfId="909" priority="28">
      <formula>#REF!="EURO"</formula>
    </cfRule>
  </conditionalFormatting>
  <conditionalFormatting sqref="K14:K32">
    <cfRule type="cellIs" dxfId="908" priority="1" operator="greaterThan">
      <formula>0</formula>
    </cfRule>
  </conditionalFormatting>
  <conditionalFormatting sqref="K36:K46">
    <cfRule type="cellIs" dxfId="907" priority="29" operator="greaterThan">
      <formula>0</formula>
    </cfRule>
  </conditionalFormatting>
  <conditionalFormatting sqref="K48:K54">
    <cfRule type="expression" dxfId="906" priority="24">
      <formula>$C$9="PLN"</formula>
    </cfRule>
    <cfRule type="expression" dxfId="905" priority="25">
      <formula>$C$9="CZK"</formula>
    </cfRule>
    <cfRule type="expression" dxfId="904" priority="26">
      <formula>$C$9="USD"</formula>
    </cfRule>
    <cfRule type="expression" dxfId="903" priority="27">
      <formula>$C$9="EURO"</formula>
    </cfRule>
  </conditionalFormatting>
  <conditionalFormatting sqref="L14:L32">
    <cfRule type="expression" dxfId="902" priority="13">
      <formula>$D$9&lt;0</formula>
    </cfRule>
    <cfRule type="expression" dxfId="901" priority="14">
      <formula>$D$9&gt;0</formula>
    </cfRule>
  </conditionalFormatting>
  <conditionalFormatting sqref="L36:L46">
    <cfRule type="expression" dxfId="900" priority="12">
      <formula>$D$9&gt;0</formula>
    </cfRule>
    <cfRule type="expression" dxfId="899" priority="11">
      <formula>$D$9&lt;0</formula>
    </cfRule>
  </conditionalFormatting>
  <conditionalFormatting sqref="N9 N12">
    <cfRule type="expression" dxfId="898" priority="43">
      <formula>$C$9="PLN"</formula>
    </cfRule>
    <cfRule type="expression" dxfId="897" priority="44">
      <formula>$C$9="CZK"</formula>
    </cfRule>
    <cfRule type="expression" dxfId="896" priority="45">
      <formula>$C$9="USD"</formula>
    </cfRule>
    <cfRule type="expression" dxfId="895" priority="46">
      <formula>$C$9="EURO"</formula>
    </cfRule>
  </conditionalFormatting>
  <conditionalFormatting sqref="N14:N32">
    <cfRule type="expression" dxfId="894" priority="20">
      <formula>$C$9="EURO"</formula>
    </cfRule>
    <cfRule type="expression" dxfId="893" priority="19">
      <formula>$C$9="USD"</formula>
    </cfRule>
    <cfRule type="expression" dxfId="892" priority="18">
      <formula>$C$9="CZK"</formula>
    </cfRule>
    <cfRule type="expression" dxfId="891" priority="17">
      <formula>$C$9="PLN"</formula>
    </cfRule>
  </conditionalFormatting>
  <conditionalFormatting sqref="N18:N20">
    <cfRule type="cellIs" dxfId="890" priority="21" operator="greaterThan">
      <formula>0</formula>
    </cfRule>
  </conditionalFormatting>
  <conditionalFormatting sqref="N35:N46">
    <cfRule type="expression" dxfId="889" priority="8">
      <formula>$C$9="EURO"</formula>
    </cfRule>
    <cfRule type="expression" dxfId="888" priority="7">
      <formula>$C$9="USD"</formula>
    </cfRule>
    <cfRule type="expression" dxfId="887" priority="6">
      <formula>$C$9="CZK"</formula>
    </cfRule>
    <cfRule type="expression" dxfId="886" priority="5">
      <formula>$C$9="PLN"</formula>
    </cfRule>
  </conditionalFormatting>
  <conditionalFormatting sqref="N14:O32">
    <cfRule type="cellIs" dxfId="885" priority="16" operator="greaterThan">
      <formula>0</formula>
    </cfRule>
  </conditionalFormatting>
  <conditionalFormatting sqref="N36:O46">
    <cfRule type="cellIs" dxfId="884" priority="4" operator="greaterThan">
      <formula>0</formula>
    </cfRule>
  </conditionalFormatting>
  <conditionalFormatting sqref="O14:O20">
    <cfRule type="cellIs" dxfId="883" priority="22" operator="greaterThan">
      <formula>0</formula>
    </cfRule>
  </conditionalFormatting>
  <dataValidations count="3">
    <dataValidation type="list" allowBlank="1" showInputMessage="1" showErrorMessage="1" sqref="H34" xr:uid="{00000000-0002-0000-8800-000000000000}">
      <formula1>#REF!</formula1>
    </dataValidation>
    <dataValidation operator="greaterThan" allowBlank="1" showInputMessage="1" showErrorMessage="1" sqref="F14:F26" xr:uid="{00000000-0002-0000-8800-000001000000}"/>
    <dataValidation type="list" allowBlank="1" showInputMessage="1" showErrorMessage="1" sqref="E14:E32" xr:uid="{00000000-0002-0000-88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IF('[15]CANOPY (4)'!G3="","",'[15]CANOPY (4)'!G3)</f>
        <v>#REF!</v>
      </c>
      <c r="I2" s="975"/>
      <c r="J2" s="975"/>
      <c r="K2" s="975"/>
      <c r="L2" s="976"/>
      <c r="M2" s="483" t="s">
        <v>368</v>
      </c>
      <c r="N2" s="974" t="e">
        <f>IF('[15]CANOPY (4)'!C3="","",'[15]CANOPY (4)'!C3)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IF('[15]CANOPY (4)'!G3="","",'[15]CANOPY (4)'!G3)</f>
        <v>#REF!</v>
      </c>
      <c r="I2" s="975"/>
      <c r="J2" s="975"/>
      <c r="K2" s="975"/>
      <c r="L2" s="976"/>
      <c r="M2" s="483" t="s">
        <v>368</v>
      </c>
      <c r="N2" s="974" t="e">
        <f>IF('[15]CANOPY (4)'!C3="","",'[15]CANOPY (4)'!C3)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IF('[15]CANOPY (4)'!G3="","",'[15]CANOPY (4)'!G3)</f>
        <v>#REF!</v>
      </c>
      <c r="I2" s="975"/>
      <c r="J2" s="975"/>
      <c r="K2" s="975"/>
      <c r="L2" s="976"/>
      <c r="M2" s="483" t="s">
        <v>368</v>
      </c>
      <c r="N2" s="974" t="e">
        <f>IF('[15]CANOPY (4)'!C3="","",'[15]CANOPY (4)'!C3)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IF('[15]CANOPY (4)'!C3="","",'[15]CANOPY (4)'!C3)</f>
        <v>#REF!</v>
      </c>
      <c r="D3" s="979"/>
      <c r="E3" s="103" t="s">
        <v>4</v>
      </c>
      <c r="F3" s="935" t="e">
        <f>IF('[15]CANOPY (4)'!G3="","",'[15]CANOPY (4)'!G3)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IF('[15]CANOPY (4)'!C5="","",'[15]CANOPY (4)'!C5)</f>
        <v>#REF!</v>
      </c>
      <c r="D5" s="979"/>
      <c r="E5" s="103" t="s">
        <v>8</v>
      </c>
      <c r="F5" s="935" t="e">
        <f>IF('[15]CANOPY (4)'!G5="","",'[15]CANOPY (4)'!G5)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IF('[15]CANOPY (4)'!C7="","",'[15]CANOPY (4)'!C7)</f>
        <v>#REF!</v>
      </c>
      <c r="D7" s="979"/>
      <c r="E7" s="103" t="s">
        <v>12</v>
      </c>
      <c r="F7" s="939" t="e">
        <f>IF('[15]CANOPY (4)'!G7="","",'[15]CANOPY (4)'!G7)</f>
        <v>#REF!</v>
      </c>
      <c r="G7" s="979"/>
      <c r="H7" s="245"/>
      <c r="J7" s="240" t="s">
        <v>14</v>
      </c>
      <c r="K7" s="787" t="e">
        <f>IF('[15]CANOPY (4)'!O7="","",'[15]CANOPY (4)'!O7)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882" priority="24">
      <formula>B9="CURRENCY"</formula>
    </cfRule>
    <cfRule type="containsText" dxfId="881" priority="23" operator="containsText" text="SELECT">
      <formula>NOT(ISERROR(SEARCH("SELECT",B9)))</formula>
    </cfRule>
  </conditionalFormatting>
  <conditionalFormatting sqref="B13:B24">
    <cfRule type="expression" dxfId="880" priority="6">
      <formula>$C13&gt;0</formula>
    </cfRule>
  </conditionalFormatting>
  <conditionalFormatting sqref="B25:B39">
    <cfRule type="expression" dxfId="879" priority="5">
      <formula>$C25&gt;0</formula>
    </cfRule>
  </conditionalFormatting>
  <conditionalFormatting sqref="B40:B42">
    <cfRule type="expression" dxfId="878" priority="4">
      <formula>$C40&gt;0</formula>
    </cfRule>
  </conditionalFormatting>
  <conditionalFormatting sqref="B43:B50">
    <cfRule type="expression" dxfId="877" priority="1">
      <formula>$C43&gt;0</formula>
    </cfRule>
  </conditionalFormatting>
  <conditionalFormatting sqref="B51:B54">
    <cfRule type="expression" dxfId="876" priority="3">
      <formula>$C51&gt;0</formula>
    </cfRule>
  </conditionalFormatting>
  <conditionalFormatting sqref="B57:B66">
    <cfRule type="expression" dxfId="875" priority="2">
      <formula>$C57&gt;0</formula>
    </cfRule>
  </conditionalFormatting>
  <conditionalFormatting sqref="C13:C54">
    <cfRule type="cellIs" dxfId="874" priority="10" operator="lessThan">
      <formula>1</formula>
    </cfRule>
  </conditionalFormatting>
  <conditionalFormatting sqref="C57:C66">
    <cfRule type="cellIs" dxfId="873" priority="26" operator="equal">
      <formula>0</formula>
    </cfRule>
  </conditionalFormatting>
  <conditionalFormatting sqref="C9:D9">
    <cfRule type="cellIs" dxfId="872" priority="20" operator="lessThan">
      <formula>0</formula>
    </cfRule>
    <cfRule type="cellIs" dxfId="871" priority="21" operator="greaterThan">
      <formula>0</formula>
    </cfRule>
  </conditionalFormatting>
  <conditionalFormatting sqref="F13:F54">
    <cfRule type="expression" dxfId="870" priority="9">
      <formula>C13&gt;0</formula>
    </cfRule>
  </conditionalFormatting>
  <conditionalFormatting sqref="F57:F66">
    <cfRule type="expression" dxfId="869" priority="19">
      <formula>C57&gt;0</formula>
    </cfRule>
  </conditionalFormatting>
  <conditionalFormatting sqref="F58:F66">
    <cfRule type="expression" dxfId="868" priority="25">
      <formula>C58&lt;1</formula>
    </cfRule>
  </conditionalFormatting>
  <conditionalFormatting sqref="G13:G54">
    <cfRule type="cellIs" dxfId="867" priority="8" operator="greaterThan">
      <formula>0</formula>
    </cfRule>
  </conditionalFormatting>
  <conditionalFormatting sqref="G57:G66">
    <cfRule type="cellIs" dxfId="866" priority="18" operator="greaterThan">
      <formula>0</formula>
    </cfRule>
  </conditionalFormatting>
  <conditionalFormatting sqref="H13:H54">
    <cfRule type="expression" dxfId="865" priority="15">
      <formula>$C$9&gt;0</formula>
    </cfRule>
    <cfRule type="expression" dxfId="864" priority="16">
      <formula>$C$9&lt;0</formula>
    </cfRule>
  </conditionalFormatting>
  <conditionalFormatting sqref="H57:H66">
    <cfRule type="expression" dxfId="863" priority="32">
      <formula>$C$9&lt;0</formula>
    </cfRule>
    <cfRule type="expression" dxfId="862" priority="31">
      <formula>$C$9&gt;0</formula>
    </cfRule>
  </conditionalFormatting>
  <conditionalFormatting sqref="J2:J6 J75:J1048576">
    <cfRule type="expression" dxfId="861" priority="27">
      <formula>$B$9="EURO"</formula>
    </cfRule>
  </conditionalFormatting>
  <conditionalFormatting sqref="J8:J67">
    <cfRule type="expression" dxfId="860" priority="11">
      <formula>$B$9="EURO"</formula>
    </cfRule>
  </conditionalFormatting>
  <conditionalFormatting sqref="J9 J56:J66">
    <cfRule type="expression" dxfId="859" priority="28">
      <formula>$B$9="USD"</formula>
    </cfRule>
    <cfRule type="expression" dxfId="858" priority="29">
      <formula>$B$9="PLN"</formula>
    </cfRule>
    <cfRule type="expression" dxfId="857" priority="30">
      <formula>$B$9="CZK"</formula>
    </cfRule>
  </conditionalFormatting>
  <conditionalFormatting sqref="J12:J54">
    <cfRule type="expression" dxfId="856" priority="14">
      <formula>$B$9="CZK"</formula>
    </cfRule>
    <cfRule type="expression" dxfId="855" priority="13">
      <formula>$B$9="PLN"</formula>
    </cfRule>
    <cfRule type="expression" dxfId="854" priority="12">
      <formula>$B$9="USD"</formula>
    </cfRule>
  </conditionalFormatting>
  <conditionalFormatting sqref="J68:J74">
    <cfRule type="expression" dxfId="853" priority="22">
      <formula>$F$10="EURO"</formula>
    </cfRule>
  </conditionalFormatting>
  <conditionalFormatting sqref="J13:K54">
    <cfRule type="cellIs" dxfId="852" priority="7" operator="greaterThan">
      <formula>0</formula>
    </cfRule>
  </conditionalFormatting>
  <conditionalFormatting sqref="J57:K66">
    <cfRule type="cellIs" dxfId="851" priority="17" operator="greaterThan">
      <formula>0</formula>
    </cfRule>
  </conditionalFormatting>
  <dataValidations count="1">
    <dataValidation type="list" allowBlank="1" showInputMessage="1" showErrorMessage="1" sqref="D55" xr:uid="{00000000-0002-0000-8C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IF('[15]CANOPY (4)'!C3="","",'[15]CANOPY (4)'!C3)</f>
        <v>#REF!</v>
      </c>
      <c r="D3" s="979"/>
      <c r="E3" s="103" t="s">
        <v>4</v>
      </c>
      <c r="F3" s="935" t="e">
        <f>IF('[15]CANOPY (4)'!G3="","",'[15]CANOPY (4)'!G3)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IF('[15]CANOPY (4)'!C5="","",'[15]CANOPY (4)'!C5)</f>
        <v>#REF!</v>
      </c>
      <c r="D5" s="979"/>
      <c r="E5" s="103" t="s">
        <v>8</v>
      </c>
      <c r="F5" s="935" t="e">
        <f>IF('[15]CANOPY (4)'!G5="","",'[15]CANOPY (4)'!G5)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IF('[15]CANOPY (4)'!C7="","",'[15]CANOPY (4)'!C7)</f>
        <v>#REF!</v>
      </c>
      <c r="D7" s="979"/>
      <c r="E7" s="103" t="s">
        <v>12</v>
      </c>
      <c r="F7" s="939" t="e">
        <f>IF('[15]CANOPY (4)'!G7="","",'[15]CANOPY (4)'!G7)</f>
        <v>#REF!</v>
      </c>
      <c r="G7" s="979"/>
      <c r="H7" s="245"/>
      <c r="J7" s="240" t="s">
        <v>14</v>
      </c>
      <c r="K7" s="787" t="e">
        <f>IF('[15]CANOPY (4)'!O7="","",'[15]CANOPY (4)'!O7)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850" priority="27">
      <formula>B9="CURRENCY"</formula>
    </cfRule>
    <cfRule type="containsText" dxfId="849" priority="26" operator="containsText" text="SELECT">
      <formula>NOT(ISERROR(SEARCH("SELECT",B9)))</formula>
    </cfRule>
  </conditionalFormatting>
  <conditionalFormatting sqref="B13:B24">
    <cfRule type="expression" dxfId="848" priority="4">
      <formula>$C13&gt;0</formula>
    </cfRule>
  </conditionalFormatting>
  <conditionalFormatting sqref="B25:B39">
    <cfRule type="expression" dxfId="847" priority="3">
      <formula>$C25&gt;0</formula>
    </cfRule>
  </conditionalFormatting>
  <conditionalFormatting sqref="B40:B54">
    <cfRule type="expression" dxfId="846" priority="2">
      <formula>$C40&gt;0</formula>
    </cfRule>
  </conditionalFormatting>
  <conditionalFormatting sqref="B57:B66">
    <cfRule type="expression" dxfId="845" priority="1">
      <formula>$C57&gt;0</formula>
    </cfRule>
  </conditionalFormatting>
  <conditionalFormatting sqref="C13:C54">
    <cfRule type="cellIs" dxfId="844" priority="13" operator="lessThan">
      <formula>1</formula>
    </cfRule>
  </conditionalFormatting>
  <conditionalFormatting sqref="C57:C66">
    <cfRule type="cellIs" dxfId="843" priority="29" operator="equal">
      <formula>0</formula>
    </cfRule>
  </conditionalFormatting>
  <conditionalFormatting sqref="C9:D9">
    <cfRule type="cellIs" dxfId="842" priority="24" operator="greaterThan">
      <formula>0</formula>
    </cfRule>
    <cfRule type="cellIs" dxfId="841" priority="23" operator="lessThan">
      <formula>0</formula>
    </cfRule>
  </conditionalFormatting>
  <conditionalFormatting sqref="F13:F54">
    <cfRule type="expression" dxfId="840" priority="12">
      <formula>C13&gt;0</formula>
    </cfRule>
  </conditionalFormatting>
  <conditionalFormatting sqref="F57:F66">
    <cfRule type="expression" dxfId="839" priority="22">
      <formula>C57&gt;0</formula>
    </cfRule>
  </conditionalFormatting>
  <conditionalFormatting sqref="F58:F66">
    <cfRule type="expression" dxfId="838" priority="28">
      <formula>C58&lt;1</formula>
    </cfRule>
  </conditionalFormatting>
  <conditionalFormatting sqref="G13:G54">
    <cfRule type="cellIs" dxfId="837" priority="11" operator="greaterThan">
      <formula>0</formula>
    </cfRule>
  </conditionalFormatting>
  <conditionalFormatting sqref="G57:G66">
    <cfRule type="cellIs" dxfId="836" priority="21" operator="greaterThan">
      <formula>0</formula>
    </cfRule>
  </conditionalFormatting>
  <conditionalFormatting sqref="H13:H54">
    <cfRule type="expression" dxfId="835" priority="18">
      <formula>$C$9&gt;0</formula>
    </cfRule>
    <cfRule type="expression" dxfId="834" priority="19">
      <formula>$C$9&lt;0</formula>
    </cfRule>
  </conditionalFormatting>
  <conditionalFormatting sqref="H57:H66">
    <cfRule type="expression" dxfId="833" priority="34">
      <formula>$C$9&gt;0</formula>
    </cfRule>
    <cfRule type="expression" dxfId="832" priority="35">
      <formula>$C$9&lt;0</formula>
    </cfRule>
  </conditionalFormatting>
  <conditionalFormatting sqref="J2:J6 J75:J1048576">
    <cfRule type="expression" dxfId="831" priority="30">
      <formula>$B$9="EURO"</formula>
    </cfRule>
  </conditionalFormatting>
  <conditionalFormatting sqref="J8:J67">
    <cfRule type="expression" dxfId="830" priority="14">
      <formula>$B$9="EURO"</formula>
    </cfRule>
  </conditionalFormatting>
  <conditionalFormatting sqref="J9 J56:J66">
    <cfRule type="expression" dxfId="829" priority="31">
      <formula>$B$9="USD"</formula>
    </cfRule>
    <cfRule type="expression" dxfId="828" priority="32">
      <formula>$B$9="PLN"</formula>
    </cfRule>
    <cfRule type="expression" dxfId="827" priority="33">
      <formula>$B$9="CZK"</formula>
    </cfRule>
  </conditionalFormatting>
  <conditionalFormatting sqref="J12:J54">
    <cfRule type="expression" dxfId="826" priority="17">
      <formula>$B$9="CZK"</formula>
    </cfRule>
    <cfRule type="expression" dxfId="825" priority="16">
      <formula>$B$9="PLN"</formula>
    </cfRule>
    <cfRule type="expression" dxfId="824" priority="15">
      <formula>$B$9="USD"</formula>
    </cfRule>
  </conditionalFormatting>
  <conditionalFormatting sqref="J68:J74">
    <cfRule type="expression" dxfId="823" priority="25">
      <formula>$F$10="EURO"</formula>
    </cfRule>
  </conditionalFormatting>
  <conditionalFormatting sqref="J13:K54">
    <cfRule type="cellIs" dxfId="822" priority="10" operator="greaterThan">
      <formula>0</formula>
    </cfRule>
  </conditionalFormatting>
  <conditionalFormatting sqref="J57:K66">
    <cfRule type="cellIs" dxfId="821" priority="20" operator="greaterThan">
      <formula>0</formula>
    </cfRule>
  </conditionalFormatting>
  <conditionalFormatting sqref="M12:P54">
    <cfRule type="expression" dxfId="820" priority="9">
      <formula>$B$9="CZK"</formula>
    </cfRule>
    <cfRule type="expression" dxfId="819" priority="8">
      <formula>$B$9="PLN"</formula>
    </cfRule>
    <cfRule type="expression" dxfId="818" priority="7">
      <formula>$B$9="USD"</formula>
    </cfRule>
    <cfRule type="expression" dxfId="817" priority="6">
      <formula>$B$9="EURO"</formula>
    </cfRule>
  </conditionalFormatting>
  <conditionalFormatting sqref="M13:P54">
    <cfRule type="cellIs" dxfId="816" priority="5" operator="greaterThan">
      <formula>0</formula>
    </cfRule>
  </conditionalFormatting>
  <dataValidations count="3">
    <dataValidation type="list" allowBlank="1" showInputMessage="1" showErrorMessage="1" sqref="D26" xr:uid="{00000000-0002-0000-8D00-000000000000}">
      <formula1>$H$17:$H$21</formula1>
    </dataValidation>
    <dataValidation type="list" allowBlank="1" showInputMessage="1" showErrorMessage="1" sqref="D55" xr:uid="{00000000-0002-0000-8D00-000001000000}">
      <formula1>$B$3:$B$15</formula1>
    </dataValidation>
    <dataValidation type="list" allowBlank="1" showInputMessage="1" showErrorMessage="1" sqref="D13" xr:uid="{00000000-0002-0000-8D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IF('[15]CANOPY (4)'!C3="","",'[15]CANOPY (4)'!C3)</f>
        <v>#REF!</v>
      </c>
      <c r="D3" s="979"/>
      <c r="E3" s="122" t="s">
        <v>4</v>
      </c>
      <c r="F3" s="987" t="e">
        <f>IF('[15]CANOPY (4)'!G3="","",'[15]CANOPY (4)'!G3)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IF('[15]CANOPY (4)'!C5="","",'[15]CANOPY (4)'!C5)</f>
        <v>#REF!</v>
      </c>
      <c r="D5" s="979"/>
      <c r="E5" s="122" t="s">
        <v>8</v>
      </c>
      <c r="F5" s="987" t="e">
        <f>IF('[15]CANOPY (4)'!G5="","",'[15]CANOPY (4)'!G5)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IF('[15]CANOPY (4)'!C7="","",'[15]CANOPY (4)'!C7)</f>
        <v>#REF!</v>
      </c>
      <c r="D7" s="979"/>
      <c r="E7" s="122" t="s">
        <v>12</v>
      </c>
      <c r="F7" s="989" t="e">
        <f>IF('[15]CANOPY (4)'!G7="","",'[15]CANOPY (4)'!G7)</f>
        <v>#REF!</v>
      </c>
      <c r="G7" s="979"/>
      <c r="H7" s="979"/>
      <c r="J7" s="197" t="s">
        <v>14</v>
      </c>
      <c r="K7" s="484" t="e">
        <f>IF('[15]CANOPY (4)'!O7="","",'[15]CANOPY (4)'!O7)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815" priority="8" operator="containsText" text="SELECT">
      <formula>NOT(ISERROR(SEARCH("SELECT",B10)))</formula>
    </cfRule>
    <cfRule type="expression" dxfId="814" priority="9">
      <formula>B10="CURRENCY"</formula>
    </cfRule>
  </conditionalFormatting>
  <conditionalFormatting sqref="B14:B41">
    <cfRule type="expression" dxfId="813" priority="2">
      <formula>$C14&gt;0</formula>
    </cfRule>
  </conditionalFormatting>
  <conditionalFormatting sqref="B44:B55">
    <cfRule type="expression" dxfId="812" priority="1">
      <formula>$C44&gt;0</formula>
    </cfRule>
  </conditionalFormatting>
  <conditionalFormatting sqref="C14:C41 C44:C55">
    <cfRule type="cellIs" dxfId="811" priority="12" operator="equal">
      <formula>0</formula>
    </cfRule>
  </conditionalFormatting>
  <conditionalFormatting sqref="C10:D10">
    <cfRule type="cellIs" dxfId="810" priority="6" operator="lessThan">
      <formula>0</formula>
    </cfRule>
    <cfRule type="cellIs" dxfId="809" priority="7" operator="greaterThan">
      <formula>0</formula>
    </cfRule>
  </conditionalFormatting>
  <conditionalFormatting sqref="E12:E13">
    <cfRule type="cellIs" dxfId="808" priority="10" operator="greaterThan">
      <formula>0</formula>
    </cfRule>
    <cfRule type="cellIs" dxfId="807" priority="11" operator="lessThan">
      <formula>0</formula>
    </cfRule>
  </conditionalFormatting>
  <conditionalFormatting sqref="F14:F41 F44:F55">
    <cfRule type="expression" dxfId="806" priority="5">
      <formula>C14&gt;0</formula>
    </cfRule>
  </conditionalFormatting>
  <conditionalFormatting sqref="G14:G41 G44:G55">
    <cfRule type="cellIs" dxfId="805" priority="4" operator="greaterThan">
      <formula>0</formula>
    </cfRule>
  </conditionalFormatting>
  <conditionalFormatting sqref="H14:H41 H44:H55">
    <cfRule type="expression" dxfId="804" priority="17">
      <formula>$C$10&lt;0</formula>
    </cfRule>
    <cfRule type="expression" dxfId="803" priority="18">
      <formula>$C$10&gt;0</formula>
    </cfRule>
  </conditionalFormatting>
  <conditionalFormatting sqref="J1:J6 J8:J11 J13:J1048576">
    <cfRule type="expression" dxfId="802" priority="13">
      <formula>$B$10="EURO"</formula>
    </cfRule>
  </conditionalFormatting>
  <conditionalFormatting sqref="J10 J13:J41 J43:J55">
    <cfRule type="expression" dxfId="801" priority="14">
      <formula>$B$10="PLN"</formula>
    </cfRule>
    <cfRule type="expression" dxfId="800" priority="15">
      <formula>$B$10="CZK"</formula>
    </cfRule>
    <cfRule type="expression" dxfId="799" priority="16">
      <formula>$B$10="USD"</formula>
    </cfRule>
  </conditionalFormatting>
  <conditionalFormatting sqref="J14:K41 J44:K56">
    <cfRule type="cellIs" dxfId="798" priority="3" operator="greaterThan">
      <formula>0</formula>
    </cfRule>
  </conditionalFormatting>
  <dataValidations count="1">
    <dataValidation type="list" allowBlank="1" showInputMessage="1" showErrorMessage="1" sqref="F12:F13" xr:uid="{00000000-0002-0000-8E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IF('[15]CANOPY (4)'!C3="","",'[15]CANOPY (4)'!C3)</f>
        <v>#REF!</v>
      </c>
      <c r="D3" s="990"/>
      <c r="E3" s="129"/>
      <c r="F3" s="132" t="s">
        <v>4</v>
      </c>
      <c r="G3" s="938" t="e">
        <f>IF('[15]CANOPY (4)'!G3="","",'[15]CANOPY (4)'!G3)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IF('[15]CANOPY (4)'!C5="","",'[15]CANOPY (4)'!C5)</f>
        <v>#REF!</v>
      </c>
      <c r="D5" s="990"/>
      <c r="E5" s="131"/>
      <c r="F5" s="132" t="s">
        <v>8</v>
      </c>
      <c r="G5" s="938" t="e">
        <f>IF('[15]CANOPY (4)'!G5="","",'[15]CANOPY (4)'!G5)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IF('[15]CANOPY (4)'!C7="","",'[15]CANOPY (4)'!C7)</f>
        <v>#REF!</v>
      </c>
      <c r="D7" s="990"/>
      <c r="E7" s="135"/>
      <c r="F7" s="136" t="s">
        <v>12</v>
      </c>
      <c r="G7" s="939" t="e">
        <f>IF('[15]CANOPY (4)'!G7="","",'[15]CANOPY (4)'!G7)</f>
        <v>#REF!</v>
      </c>
      <c r="H7" s="990"/>
      <c r="I7" s="51"/>
      <c r="J7" s="280"/>
      <c r="K7" s="280" t="s">
        <v>14</v>
      </c>
      <c r="L7" s="484" t="e">
        <f>IF('[15]CANOPY (4)'!O7="","",'[15]CANOPY (4)'!O7)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797" priority="26">
      <formula>B9="CURRENCY"</formula>
    </cfRule>
    <cfRule type="containsText" dxfId="796" priority="25" operator="containsText" text="SELECT">
      <formula>NOT(ISERROR(SEARCH("SELECT",B9)))</formula>
    </cfRule>
  </conditionalFormatting>
  <conditionalFormatting sqref="B15:B29">
    <cfRule type="expression" dxfId="795" priority="9">
      <formula>$D15&gt;0</formula>
    </cfRule>
  </conditionalFormatting>
  <conditionalFormatting sqref="B49 E49:F49">
    <cfRule type="expression" dxfId="794" priority="49">
      <formula>C40="select controls"</formula>
    </cfRule>
  </conditionalFormatting>
  <conditionalFormatting sqref="C13">
    <cfRule type="containsText" dxfId="793" priority="29" operator="containsText" text="SELECT">
      <formula>NOT(ISERROR(SEARCH("SELECT",C13)))</formula>
    </cfRule>
  </conditionalFormatting>
  <conditionalFormatting sqref="C15:C22">
    <cfRule type="containsText" dxfId="792" priority="15" operator="containsText" text="SIZE">
      <formula>NOT(ISERROR(SEARCH("SIZE",C15)))</formula>
    </cfRule>
  </conditionalFormatting>
  <conditionalFormatting sqref="C25">
    <cfRule type="containsText" dxfId="791" priority="37" operator="containsText" text="SELECT CONTROLS">
      <formula>NOT(ISERROR(SEARCH("SELECT CONTROLS",C25)))</formula>
    </cfRule>
  </conditionalFormatting>
  <conditionalFormatting sqref="C26">
    <cfRule type="expression" dxfId="790" priority="32">
      <formula>$C$25="SMARTEC"</formula>
    </cfRule>
    <cfRule type="containsText" dxfId="789" priority="31" operator="containsText" text="st/st">
      <formula>NOT(ISERROR(SEARCH("st/st",C26)))</formula>
    </cfRule>
  </conditionalFormatting>
  <conditionalFormatting sqref="C31:C32">
    <cfRule type="cellIs" dxfId="788" priority="20" operator="greaterThan">
      <formula>0</formula>
    </cfRule>
  </conditionalFormatting>
  <conditionalFormatting sqref="C52:C61">
    <cfRule type="cellIs" dxfId="787" priority="28" operator="lessThan">
      <formula>1</formula>
    </cfRule>
  </conditionalFormatting>
  <conditionalFormatting sqref="C9:D9">
    <cfRule type="cellIs" dxfId="786" priority="23" operator="lessThan">
      <formula>0</formula>
    </cfRule>
    <cfRule type="cellIs" dxfId="785" priority="24" operator="greaterThan">
      <formula>0</formula>
    </cfRule>
  </conditionalFormatting>
  <conditionalFormatting sqref="C29:D29">
    <cfRule type="expression" dxfId="784" priority="36">
      <formula>$C$25="REMOTE TOUCH SCREEN"</formula>
    </cfRule>
    <cfRule type="expression" dxfId="783" priority="35">
      <formula>$C$25="SMARTEC"</formula>
    </cfRule>
  </conditionalFormatting>
  <conditionalFormatting sqref="D26">
    <cfRule type="expression" dxfId="782" priority="33">
      <formula>C25="SMARTEC"</formula>
    </cfRule>
    <cfRule type="expression" dxfId="781" priority="30">
      <formula>C26="st/st enclosure"</formula>
    </cfRule>
  </conditionalFormatting>
  <conditionalFormatting sqref="D29">
    <cfRule type="expression" dxfId="780" priority="34">
      <formula>$C$25="SMARTEC"</formula>
    </cfRule>
  </conditionalFormatting>
  <conditionalFormatting sqref="D38">
    <cfRule type="expression" dxfId="779" priority="48">
      <formula>#REF!="SMARTEC"</formula>
    </cfRule>
    <cfRule type="expression" dxfId="778" priority="47">
      <formula>C38="st/st enclosure"</formula>
    </cfRule>
  </conditionalFormatting>
  <conditionalFormatting sqref="E39:E43">
    <cfRule type="expression" dxfId="777" priority="46">
      <formula>#REF!="select controls"</formula>
    </cfRule>
  </conditionalFormatting>
  <conditionalFormatting sqref="E44:F45 B45:B48 E46:E47 E48:F48">
    <cfRule type="expression" dxfId="776" priority="27">
      <formula>C38="select controls"</formula>
    </cfRule>
  </conditionalFormatting>
  <conditionalFormatting sqref="F40">
    <cfRule type="expression" dxfId="775" priority="1">
      <formula>G34="select controls"</formula>
    </cfRule>
  </conditionalFormatting>
  <conditionalFormatting sqref="G15:G36">
    <cfRule type="cellIs" dxfId="774" priority="2" operator="greaterThan">
      <formula>0</formula>
    </cfRule>
  </conditionalFormatting>
  <conditionalFormatting sqref="G38:G49">
    <cfRule type="cellIs" dxfId="773" priority="18" operator="greaterThan">
      <formula>0</formula>
    </cfRule>
  </conditionalFormatting>
  <conditionalFormatting sqref="G52:G61">
    <cfRule type="expression" dxfId="772" priority="8">
      <formula>C52&gt;0</formula>
    </cfRule>
  </conditionalFormatting>
  <conditionalFormatting sqref="H13 J13 L13">
    <cfRule type="expression" dxfId="771" priority="38">
      <formula>$B$9="EURO"</formula>
    </cfRule>
  </conditionalFormatting>
  <conditionalFormatting sqref="H15:H61">
    <cfRule type="cellIs" dxfId="770" priority="19" operator="greaterThan">
      <formula>0</formula>
    </cfRule>
  </conditionalFormatting>
  <conditionalFormatting sqref="I15:I36 I38:I49 I52:I61">
    <cfRule type="expression" dxfId="769" priority="44">
      <formula>$C$9&lt;0</formula>
    </cfRule>
    <cfRule type="expression" dxfId="768" priority="43">
      <formula>$C$9&gt;0</formula>
    </cfRule>
  </conditionalFormatting>
  <conditionalFormatting sqref="J37">
    <cfRule type="expression" dxfId="767" priority="42">
      <formula>$B$9="EURO"</formula>
    </cfRule>
    <cfRule type="expression" dxfId="766" priority="41">
      <formula>$B$9="USD"</formula>
    </cfRule>
    <cfRule type="expression" dxfId="765" priority="40">
      <formula>$B$9="CZK"</formula>
    </cfRule>
    <cfRule type="expression" dxfId="764" priority="39">
      <formula>$B$9="PLN"</formula>
    </cfRule>
  </conditionalFormatting>
  <conditionalFormatting sqref="J63:J69">
    <cfRule type="expression" dxfId="763" priority="45">
      <formula>#REF!="EURO"</formula>
    </cfRule>
  </conditionalFormatting>
  <conditionalFormatting sqref="K1:K36">
    <cfRule type="expression" dxfId="762" priority="5">
      <formula>$B$9="USD"</formula>
    </cfRule>
    <cfRule type="expression" dxfId="761" priority="4">
      <formula>$B$9="EURO"</formula>
    </cfRule>
    <cfRule type="expression" dxfId="760" priority="6">
      <formula>$B$9="PLN"</formula>
    </cfRule>
  </conditionalFormatting>
  <conditionalFormatting sqref="K1:K1048576">
    <cfRule type="expression" dxfId="759" priority="7">
      <formula>$B$9="CZK"</formula>
    </cfRule>
  </conditionalFormatting>
  <conditionalFormatting sqref="K15:K36">
    <cfRule type="cellIs" dxfId="758" priority="3" operator="greaterThan">
      <formula>0</formula>
    </cfRule>
  </conditionalFormatting>
  <conditionalFormatting sqref="K38:K49">
    <cfRule type="cellIs" dxfId="757" priority="14" operator="greaterThan">
      <formula>0</formula>
    </cfRule>
  </conditionalFormatting>
  <conditionalFormatting sqref="K38:K1048576">
    <cfRule type="expression" dxfId="756" priority="11">
      <formula>$B$9="EURO"</formula>
    </cfRule>
    <cfRule type="expression" dxfId="755" priority="12">
      <formula>$B$9="USD"</formula>
    </cfRule>
    <cfRule type="expression" dxfId="754" priority="13">
      <formula>$B$9="PLN"</formula>
    </cfRule>
  </conditionalFormatting>
  <conditionalFormatting sqref="K50">
    <cfRule type="cellIs" dxfId="753" priority="22" operator="greaterThan">
      <formula>0</formula>
    </cfRule>
  </conditionalFormatting>
  <conditionalFormatting sqref="K52:K61">
    <cfRule type="cellIs" dxfId="752" priority="10" operator="greaterThan">
      <formula>0</formula>
    </cfRule>
  </conditionalFormatting>
  <conditionalFormatting sqref="L15:L36 L52:L61">
    <cfRule type="cellIs" dxfId="751" priority="21" operator="greaterThan">
      <formula>0</formula>
    </cfRule>
  </conditionalFormatting>
  <conditionalFormatting sqref="L38:L49">
    <cfRule type="cellIs" dxfId="750" priority="17" operator="greaterThan">
      <formula>0</formula>
    </cfRule>
  </conditionalFormatting>
  <conditionalFormatting sqref="U40">
    <cfRule type="cellIs" dxfId="749" priority="16" operator="greaterThan">
      <formula>0</formula>
    </cfRule>
  </conditionalFormatting>
  <dataValidations count="3">
    <dataValidation type="list" allowBlank="1" showInputMessage="1" showErrorMessage="1" sqref="C25" xr:uid="{00000000-0002-0000-8F00-000000000000}">
      <formula1>"SELECT CONTROLS,SMARTEC, REMOTE TOUCH SCREEN"</formula1>
    </dataValidation>
    <dataValidation type="list" allowBlank="1" showInputMessage="1" showErrorMessage="1" sqref="C13" xr:uid="{00000000-0002-0000-8F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8F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IF('[15]CANOPY (4)'!C3="","",'[15]CANOPY (4)'!C3)</f>
        <v>#REF!</v>
      </c>
      <c r="D3" s="990"/>
      <c r="E3" s="129"/>
      <c r="F3" s="132" t="s">
        <v>4</v>
      </c>
      <c r="G3" s="938" t="e">
        <f>IF('[15]CANOPY (4)'!G3="","",'[15]CANOPY (4)'!G3)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IF('[15]CANOPY (4)'!C5="","",'[15]CANOPY (4)'!C5)</f>
        <v>#REF!</v>
      </c>
      <c r="D5" s="990"/>
      <c r="E5" s="131"/>
      <c r="F5" s="132" t="s">
        <v>8</v>
      </c>
      <c r="G5" s="938" t="e">
        <f>IF('[15]CANOPY (4)'!G5="","",'[15]CANOPY (4)'!G5)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IF('[15]CANOPY (4)'!C7="","",'[15]CANOPY (4)'!C7)</f>
        <v>#REF!</v>
      </c>
      <c r="D7" s="990"/>
      <c r="E7" s="135"/>
      <c r="F7" s="136" t="s">
        <v>12</v>
      </c>
      <c r="G7" s="939" t="e">
        <f>IF('[15]CANOPY (4)'!G7="","",'[15]CANOPY (4)'!G7)</f>
        <v>#REF!</v>
      </c>
      <c r="H7" s="990"/>
      <c r="I7" s="51"/>
      <c r="J7" s="280"/>
      <c r="K7" s="280" t="s">
        <v>14</v>
      </c>
      <c r="L7" s="484" t="e">
        <f>IF('[15]CANOPY (4)'!O7="","",'[15]CANOPY (4)'!O7)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748" priority="30">
      <formula>B9="CURRENCY"</formula>
    </cfRule>
    <cfRule type="containsText" dxfId="747" priority="29" operator="containsText" text="SELECT">
      <formula>NOT(ISERROR(SEARCH("SELECT",B9)))</formula>
    </cfRule>
  </conditionalFormatting>
  <conditionalFormatting sqref="B15:B30">
    <cfRule type="expression" dxfId="746" priority="2">
      <formula>$D15&gt;0</formula>
    </cfRule>
  </conditionalFormatting>
  <conditionalFormatting sqref="B50 E50:F50">
    <cfRule type="expression" dxfId="745" priority="53">
      <formula>C41="select controls"</formula>
    </cfRule>
  </conditionalFormatting>
  <conditionalFormatting sqref="C13">
    <cfRule type="containsText" dxfId="744" priority="33" operator="containsText" text="SELECT">
      <formula>NOT(ISERROR(SEARCH("SELECT",C13)))</formula>
    </cfRule>
  </conditionalFormatting>
  <conditionalFormatting sqref="C15:C23">
    <cfRule type="containsText" dxfId="743" priority="8" operator="containsText" text="SIZE">
      <formula>NOT(ISERROR(SEARCH("SIZE",C15)))</formula>
    </cfRule>
  </conditionalFormatting>
  <conditionalFormatting sqref="C26">
    <cfRule type="containsText" dxfId="742" priority="41" operator="containsText" text="SELECT CONTROLS">
      <formula>NOT(ISERROR(SEARCH("SELECT CONTROLS",C26)))</formula>
    </cfRule>
  </conditionalFormatting>
  <conditionalFormatting sqref="C27">
    <cfRule type="expression" dxfId="741" priority="36">
      <formula>$C$26="SMARTEC"</formula>
    </cfRule>
    <cfRule type="containsText" dxfId="740" priority="35" operator="containsText" text="st/st">
      <formula>NOT(ISERROR(SEARCH("st/st",C27)))</formula>
    </cfRule>
  </conditionalFormatting>
  <conditionalFormatting sqref="C32:C33">
    <cfRule type="cellIs" dxfId="739" priority="24" operator="greaterThan">
      <formula>0</formula>
    </cfRule>
  </conditionalFormatting>
  <conditionalFormatting sqref="C53:C62">
    <cfRule type="cellIs" dxfId="738" priority="32" operator="lessThan">
      <formula>1</formula>
    </cfRule>
  </conditionalFormatting>
  <conditionalFormatting sqref="C9:D9">
    <cfRule type="cellIs" dxfId="737" priority="27" operator="lessThan">
      <formula>0</formula>
    </cfRule>
    <cfRule type="cellIs" dxfId="736" priority="28" operator="greaterThan">
      <formula>0</formula>
    </cfRule>
  </conditionalFormatting>
  <conditionalFormatting sqref="C30:D30">
    <cfRule type="expression" dxfId="735" priority="40">
      <formula>$C$26="REMOTE TOUCH SCREEN"</formula>
    </cfRule>
    <cfRule type="expression" dxfId="734" priority="39">
      <formula>$C$26="SMARTEC"</formula>
    </cfRule>
  </conditionalFormatting>
  <conditionalFormatting sqref="D27">
    <cfRule type="expression" dxfId="733" priority="37">
      <formula>C26="SMARTEC"</formula>
    </cfRule>
    <cfRule type="expression" dxfId="732" priority="34">
      <formula>C27="st/st enclosure"</formula>
    </cfRule>
  </conditionalFormatting>
  <conditionalFormatting sqref="D30">
    <cfRule type="expression" dxfId="731" priority="38">
      <formula>$C$26="SMARTEC"</formula>
    </cfRule>
  </conditionalFormatting>
  <conditionalFormatting sqref="D39">
    <cfRule type="expression" dxfId="730" priority="52">
      <formula>#REF!="SMARTEC"</formula>
    </cfRule>
    <cfRule type="expression" dxfId="729" priority="51">
      <formula>C39="st/st enclosure"</formula>
    </cfRule>
  </conditionalFormatting>
  <conditionalFormatting sqref="E40:E44">
    <cfRule type="expression" dxfId="728" priority="50">
      <formula>#REF!="select controls"</formula>
    </cfRule>
  </conditionalFormatting>
  <conditionalFormatting sqref="E45 E46:F46 B46:B47 E47:E48 B49 E49:F49">
    <cfRule type="expression" dxfId="727" priority="31">
      <formula>C39="select controls"</formula>
    </cfRule>
  </conditionalFormatting>
  <conditionalFormatting sqref="F41:F45">
    <cfRule type="expression" dxfId="726" priority="1">
      <formula>G35="select controls"</formula>
    </cfRule>
  </conditionalFormatting>
  <conditionalFormatting sqref="G15:G37">
    <cfRule type="cellIs" dxfId="725" priority="9" operator="greaterThan">
      <formula>0</formula>
    </cfRule>
  </conditionalFormatting>
  <conditionalFormatting sqref="G39:G50">
    <cfRule type="cellIs" dxfId="724" priority="14" operator="greaterThan">
      <formula>0</formula>
    </cfRule>
  </conditionalFormatting>
  <conditionalFormatting sqref="G53:G62">
    <cfRule type="expression" dxfId="723" priority="15">
      <formula>C53&gt;0</formula>
    </cfRule>
  </conditionalFormatting>
  <conditionalFormatting sqref="H13 J13 L13">
    <cfRule type="expression" dxfId="722" priority="42">
      <formula>$B$9="EURO"</formula>
    </cfRule>
  </conditionalFormatting>
  <conditionalFormatting sqref="H23">
    <cfRule type="cellIs" dxfId="721" priority="11" operator="greaterThan">
      <formula>0</formula>
    </cfRule>
  </conditionalFormatting>
  <conditionalFormatting sqref="H25:H62">
    <cfRule type="cellIs" dxfId="720" priority="23" operator="greaterThan">
      <formula>0</formula>
    </cfRule>
  </conditionalFormatting>
  <conditionalFormatting sqref="H15:L22 L53:L62">
    <cfRule type="cellIs" dxfId="719" priority="25" operator="greaterThan">
      <formula>0</formula>
    </cfRule>
  </conditionalFormatting>
  <conditionalFormatting sqref="I15:I37">
    <cfRule type="expression" dxfId="718" priority="12">
      <formula>$C$9&gt;0</formula>
    </cfRule>
  </conditionalFormatting>
  <conditionalFormatting sqref="I23:I37">
    <cfRule type="expression" dxfId="717" priority="13">
      <formula>$C$9&lt;0</formula>
    </cfRule>
  </conditionalFormatting>
  <conditionalFormatting sqref="I39:I50 I53:I62 I15:I22">
    <cfRule type="expression" dxfId="716" priority="48">
      <formula>$C$9&lt;0</formula>
    </cfRule>
  </conditionalFormatting>
  <conditionalFormatting sqref="I39:I50 I53:I62">
    <cfRule type="expression" dxfId="715" priority="47">
      <formula>$C$9&gt;0</formula>
    </cfRule>
  </conditionalFormatting>
  <conditionalFormatting sqref="J38">
    <cfRule type="expression" dxfId="714" priority="43">
      <formula>$B$9="PLN"</formula>
    </cfRule>
    <cfRule type="expression" dxfId="713" priority="44">
      <formula>$B$9="CZK"</formula>
    </cfRule>
    <cfRule type="expression" dxfId="712" priority="45">
      <formula>$B$9="USD"</formula>
    </cfRule>
    <cfRule type="expression" dxfId="711" priority="46">
      <formula>$B$9="EURO"</formula>
    </cfRule>
  </conditionalFormatting>
  <conditionalFormatting sqref="J64:J70">
    <cfRule type="expression" dxfId="710" priority="49">
      <formula>#REF!="EURO"</formula>
    </cfRule>
  </conditionalFormatting>
  <conditionalFormatting sqref="K1:K37">
    <cfRule type="expression" dxfId="709" priority="5">
      <formula>$B$9="USD"</formula>
    </cfRule>
    <cfRule type="expression" dxfId="708" priority="4">
      <formula>$B$9="EURO"</formula>
    </cfRule>
    <cfRule type="expression" dxfId="707" priority="6">
      <formula>$B$9="PLN"</formula>
    </cfRule>
  </conditionalFormatting>
  <conditionalFormatting sqref="K1:K1048576">
    <cfRule type="expression" dxfId="706" priority="7">
      <formula>$B$9="CZK"</formula>
    </cfRule>
  </conditionalFormatting>
  <conditionalFormatting sqref="K15:K37">
    <cfRule type="cellIs" dxfId="705" priority="3" operator="greaterThan">
      <formula>0</formula>
    </cfRule>
  </conditionalFormatting>
  <conditionalFormatting sqref="K39:K50">
    <cfRule type="cellIs" dxfId="704" priority="20" operator="greaterThan">
      <formula>0</formula>
    </cfRule>
  </conditionalFormatting>
  <conditionalFormatting sqref="K39:K1048576">
    <cfRule type="expression" dxfId="703" priority="19">
      <formula>$B$9="PLN"</formula>
    </cfRule>
    <cfRule type="expression" dxfId="702" priority="18">
      <formula>$B$9="USD"</formula>
    </cfRule>
    <cfRule type="expression" dxfId="701" priority="17">
      <formula>$B$9="EURO"</formula>
    </cfRule>
  </conditionalFormatting>
  <conditionalFormatting sqref="K51">
    <cfRule type="cellIs" dxfId="700" priority="26" operator="greaterThan">
      <formula>0</formula>
    </cfRule>
  </conditionalFormatting>
  <conditionalFormatting sqref="K53:K62">
    <cfRule type="cellIs" dxfId="699" priority="16" operator="greaterThan">
      <formula>0</formula>
    </cfRule>
  </conditionalFormatting>
  <conditionalFormatting sqref="L23:L37">
    <cfRule type="cellIs" dxfId="698" priority="10" operator="greaterThan">
      <formula>0</formula>
    </cfRule>
  </conditionalFormatting>
  <conditionalFormatting sqref="L39:L50">
    <cfRule type="cellIs" dxfId="697" priority="22" operator="greaterThan">
      <formula>0</formula>
    </cfRule>
  </conditionalFormatting>
  <conditionalFormatting sqref="T41">
    <cfRule type="cellIs" dxfId="696"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9000-000000000000}">
      <formula1>#REF!</formula1>
    </dataValidation>
    <dataValidation type="list" allowBlank="1" showInputMessage="1" showErrorMessage="1" sqref="C13" xr:uid="{00000000-0002-0000-9000-000001000000}">
      <formula1>"SELECT MODEL,INTERNAL,EXTERNAL"</formula1>
    </dataValidation>
    <dataValidation type="list" allowBlank="1" showInputMessage="1" showErrorMessage="1" sqref="C26" xr:uid="{00000000-0002-0000-90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IF('[15]CANOPY (4)'!C3="","",'[15]CANOPY (4)'!C3)</f>
        <v>#REF!</v>
      </c>
      <c r="E3" s="934"/>
      <c r="G3" s="71" t="s">
        <v>4</v>
      </c>
      <c r="H3" s="935" t="e">
        <f>IF('[15]CANOPY (4)'!G3="","",'[15]CANOPY (4)'!G3)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IF('[15]CANOPY (4)'!C5="","",'[15]CANOPY (4)'!C5)</f>
        <v>#REF!</v>
      </c>
      <c r="E5" s="934"/>
      <c r="G5" s="71" t="s">
        <v>8</v>
      </c>
      <c r="H5" s="935" t="e">
        <f>IF('[15]CANOPY (4)'!G5="","",'[15]CANOPY (4)'!G5)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IF('[15]CANOPY (4)'!C7="","",'[15]CANOPY (4)'!C7)</f>
        <v>#REF!</v>
      </c>
      <c r="E7" s="934"/>
      <c r="G7" s="71" t="s">
        <v>12</v>
      </c>
      <c r="H7" s="939" t="e">
        <f>IF('[15]CANOPY (4)'!G7="","",'[15]CANOPY (4)'!G7)</f>
        <v>#REF!</v>
      </c>
      <c r="I7" s="936"/>
      <c r="J7" s="937"/>
      <c r="N7" s="266" t="s">
        <v>14</v>
      </c>
      <c r="O7" s="787" t="e">
        <f>IF('[15]CANOPY (4)'!O7="","",'[15]CANOPY (4)'!O7)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695" priority="26">
      <formula>C9="CURRENCY"</formula>
    </cfRule>
    <cfRule type="containsText" dxfId="694" priority="25" operator="containsText" text="SELECT">
      <formula>NOT(ISERROR(SEARCH("SELECT",C9)))</formula>
    </cfRule>
  </conditionalFormatting>
  <conditionalFormatting sqref="C14:C23">
    <cfRule type="expression" dxfId="693" priority="1">
      <formula>$J14&gt;0</formula>
    </cfRule>
  </conditionalFormatting>
  <conditionalFormatting sqref="C27:C37">
    <cfRule type="expression" dxfId="692" priority="10">
      <formula>$D27&gt;0</formula>
    </cfRule>
  </conditionalFormatting>
  <conditionalFormatting sqref="D27:D28 D30:D37">
    <cfRule type="cellIs" dxfId="691" priority="27" operator="lessThan">
      <formula>1</formula>
    </cfRule>
  </conditionalFormatting>
  <conditionalFormatting sqref="D29">
    <cfRule type="cellIs" dxfId="690" priority="22" operator="lessThan">
      <formula>1</formula>
    </cfRule>
  </conditionalFormatting>
  <conditionalFormatting sqref="D9:E9">
    <cfRule type="cellIs" dxfId="689" priority="23" operator="lessThan">
      <formula>0</formula>
    </cfRule>
    <cfRule type="cellIs" dxfId="688" priority="24" operator="greaterThan">
      <formula>0</formula>
    </cfRule>
  </conditionalFormatting>
  <conditionalFormatting sqref="F12">
    <cfRule type="cellIs" dxfId="687" priority="37" operator="greaterThan">
      <formula>2000</formula>
    </cfRule>
    <cfRule type="expression" dxfId="686" priority="36">
      <formula>ISNUMBER(SEARCH("I-MUAP",#REF!))</formula>
    </cfRule>
    <cfRule type="expression" dxfId="685" priority="35">
      <formula>AND((ISNUMBER(SEARCH("I-MUAP",#REF!))),F12&lt;2500)</formula>
    </cfRule>
  </conditionalFormatting>
  <conditionalFormatting sqref="F12:G12">
    <cfRule type="cellIs" dxfId="684" priority="28" operator="lessThan">
      <formula>1000</formula>
    </cfRule>
  </conditionalFormatting>
  <conditionalFormatting sqref="F14:G19">
    <cfRule type="cellIs" dxfId="683" priority="3" operator="lessThan">
      <formula>1000</formula>
    </cfRule>
  </conditionalFormatting>
  <conditionalFormatting sqref="G12">
    <cfRule type="cellIs" dxfId="682" priority="29" operator="greaterThan">
      <formula>3001</formula>
    </cfRule>
  </conditionalFormatting>
  <conditionalFormatting sqref="H11">
    <cfRule type="expression" dxfId="681" priority="38">
      <formula>((#REF!-50)/#REF!)&lt;950</formula>
    </cfRule>
  </conditionalFormatting>
  <conditionalFormatting sqref="H12">
    <cfRule type="expression" dxfId="680" priority="39">
      <formula>((#REF!-50)/#REF!)&lt;950</formula>
    </cfRule>
  </conditionalFormatting>
  <conditionalFormatting sqref="H14:H19">
    <cfRule type="cellIs" dxfId="679" priority="4" operator="lessThan">
      <formula>400</formula>
    </cfRule>
  </conditionalFormatting>
  <conditionalFormatting sqref="H24">
    <cfRule type="expression" dxfId="678" priority="34">
      <formula>((#REF!-50)/#REF!)&lt;950</formula>
    </cfRule>
  </conditionalFormatting>
  <conditionalFormatting sqref="J14:J21">
    <cfRule type="cellIs" dxfId="677" priority="15" operator="greaterThan">
      <formula>0</formula>
    </cfRule>
  </conditionalFormatting>
  <conditionalFormatting sqref="J27:J37">
    <cfRule type="expression" dxfId="676" priority="16">
      <formula>D27&gt;0</formula>
    </cfRule>
  </conditionalFormatting>
  <conditionalFormatting sqref="J39:J45">
    <cfRule type="expression" dxfId="675" priority="44">
      <formula>#REF!="EURO"</formula>
    </cfRule>
  </conditionalFormatting>
  <conditionalFormatting sqref="K14:K23 N14:O23">
    <cfRule type="cellIs" dxfId="674" priority="2" operator="greaterThan">
      <formula>0</formula>
    </cfRule>
  </conditionalFormatting>
  <conditionalFormatting sqref="K27:K37">
    <cfRule type="cellIs" dxfId="673" priority="21" operator="greaterThan">
      <formula>0</formula>
    </cfRule>
  </conditionalFormatting>
  <conditionalFormatting sqref="K39:K45">
    <cfRule type="expression" dxfId="672" priority="40">
      <formula>$C$9="PLN"</formula>
    </cfRule>
    <cfRule type="expression" dxfId="671" priority="41">
      <formula>$C$9="CZK"</formula>
    </cfRule>
    <cfRule type="expression" dxfId="670" priority="42">
      <formula>$C$9="USD"</formula>
    </cfRule>
    <cfRule type="expression" dxfId="669" priority="43">
      <formula>$C$9="EURO"</formula>
    </cfRule>
  </conditionalFormatting>
  <conditionalFormatting sqref="L14:L23">
    <cfRule type="expression" dxfId="668" priority="14">
      <formula>$D$9&gt;0</formula>
    </cfRule>
    <cfRule type="expression" dxfId="667" priority="13">
      <formula>$D$9&lt;0</formula>
    </cfRule>
  </conditionalFormatting>
  <conditionalFormatting sqref="L27:L37">
    <cfRule type="expression" dxfId="666" priority="12">
      <formula>$D$9&gt;0</formula>
    </cfRule>
    <cfRule type="expression" dxfId="665" priority="11">
      <formula>$D$9&lt;0</formula>
    </cfRule>
  </conditionalFormatting>
  <conditionalFormatting sqref="N9 N12">
    <cfRule type="expression" dxfId="664" priority="30">
      <formula>$C$9="PLN"</formula>
    </cfRule>
    <cfRule type="expression" dxfId="663" priority="31">
      <formula>$C$9="CZK"</formula>
    </cfRule>
    <cfRule type="expression" dxfId="662" priority="32">
      <formula>$C$9="USD"</formula>
    </cfRule>
    <cfRule type="expression" dxfId="661" priority="33">
      <formula>$C$9="EURO"</formula>
    </cfRule>
  </conditionalFormatting>
  <conditionalFormatting sqref="N14:N23">
    <cfRule type="expression" dxfId="660" priority="20">
      <formula>$C$9="EURO"</formula>
    </cfRule>
    <cfRule type="expression" dxfId="659" priority="19">
      <formula>$C$9="USD"</formula>
    </cfRule>
    <cfRule type="expression" dxfId="658" priority="18">
      <formula>$C$9="CZK"</formula>
    </cfRule>
    <cfRule type="expression" dxfId="657" priority="17">
      <formula>$C$9="PLN"</formula>
    </cfRule>
  </conditionalFormatting>
  <conditionalFormatting sqref="N26:N37">
    <cfRule type="expression" dxfId="656" priority="6">
      <formula>$C$9="PLN"</formula>
    </cfRule>
    <cfRule type="expression" dxfId="655" priority="7">
      <formula>$C$9="CZK"</formula>
    </cfRule>
    <cfRule type="expression" dxfId="654" priority="9">
      <formula>$C$9="EURO"</formula>
    </cfRule>
    <cfRule type="expression" dxfId="653" priority="8">
      <formula>$C$9="USD"</formula>
    </cfRule>
  </conditionalFormatting>
  <conditionalFormatting sqref="N27:O37">
    <cfRule type="cellIs" dxfId="652" priority="5" operator="greaterThan">
      <formula>0</formula>
    </cfRule>
  </conditionalFormatting>
  <dataValidations count="3">
    <dataValidation type="list" allowBlank="1" showInputMessage="1" showErrorMessage="1" sqref="H25" xr:uid="{00000000-0002-0000-9100-000000000000}">
      <formula1>#REF!</formula1>
    </dataValidation>
    <dataValidation type="list" allowBlank="1" showInputMessage="1" showErrorMessage="1" sqref="E14:E23" xr:uid="{00000000-0002-0000-9100-000001000000}">
      <formula1>"0,1,2,3,4,5,6,7,8,9,10,11,12,13,14,15,16,17,18,19,20"</formula1>
    </dataValidation>
    <dataValidation operator="greaterThan" allowBlank="1" showInputMessage="1" showErrorMessage="1" sqref="F14:F19" xr:uid="{00000000-0002-0000-91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IF('[15]CANOPY (4)'!C3="","",'[15]CANOPY (4)'!C3)</f>
        <v>#REF!</v>
      </c>
      <c r="E3" s="934"/>
      <c r="G3" s="71" t="s">
        <v>4</v>
      </c>
      <c r="H3" s="935" t="e">
        <f>IF('[15]CANOPY (4)'!G3="","",'[15]CANOPY (4)'!G3)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IF('[15]CANOPY (4)'!C5="","",'[15]CANOPY (4)'!C5)</f>
        <v>#REF!</v>
      </c>
      <c r="E5" s="934"/>
      <c r="G5" s="71" t="s">
        <v>8</v>
      </c>
      <c r="H5" s="935" t="e">
        <f>IF('[15]CANOPY (4)'!G5="","",'[15]CANOPY (4)'!G5)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IF('[15]CANOPY (4)'!C7="","",'[15]CANOPY (4)'!C7)</f>
        <v>#REF!</v>
      </c>
      <c r="E7" s="934"/>
      <c r="G7" s="71" t="s">
        <v>12</v>
      </c>
      <c r="H7" s="939" t="e">
        <f>IF('[15]CANOPY (4)'!G7="","",'[15]CANOPY (4)'!G7)</f>
        <v>#REF!</v>
      </c>
      <c r="I7" s="936"/>
      <c r="J7" s="937"/>
      <c r="N7" s="266" t="s">
        <v>14</v>
      </c>
      <c r="O7" s="787" t="e">
        <f>IF('[15]CANOPY (4)'!O7="","",'[15]CANOPY (4)'!O7)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651" priority="34">
      <formula>C9="CURRENCY"</formula>
    </cfRule>
    <cfRule type="containsText" dxfId="650" priority="33" operator="containsText" text="SELECT">
      <formula>NOT(ISERROR(SEARCH("SELECT",C9)))</formula>
    </cfRule>
  </conditionalFormatting>
  <conditionalFormatting sqref="C14:C32">
    <cfRule type="expression" dxfId="649" priority="10">
      <formula>$J14&gt;0</formula>
    </cfRule>
  </conditionalFormatting>
  <conditionalFormatting sqref="C36:C46">
    <cfRule type="expression" dxfId="648" priority="9">
      <formula>$D36&gt;0</formula>
    </cfRule>
  </conditionalFormatting>
  <conditionalFormatting sqref="D36:D37 D39:D46">
    <cfRule type="cellIs" dxfId="647" priority="35" operator="lessThan">
      <formula>1</formula>
    </cfRule>
  </conditionalFormatting>
  <conditionalFormatting sqref="D38">
    <cfRule type="cellIs" dxfId="646" priority="30" operator="lessThan">
      <formula>1</formula>
    </cfRule>
  </conditionalFormatting>
  <conditionalFormatting sqref="D9:E9">
    <cfRule type="cellIs" dxfId="645" priority="32" operator="greaterThan">
      <formula>0</formula>
    </cfRule>
    <cfRule type="cellIs" dxfId="644" priority="31" operator="lessThan">
      <formula>0</formula>
    </cfRule>
  </conditionalFormatting>
  <conditionalFormatting sqref="F12">
    <cfRule type="cellIs" dxfId="643" priority="42" operator="greaterThan">
      <formula>2000</formula>
    </cfRule>
    <cfRule type="expression" dxfId="642" priority="41">
      <formula>ISNUMBER(SEARCH("I-MUAP",$E$14))</formula>
    </cfRule>
    <cfRule type="expression" dxfId="641" priority="40">
      <formula>AND((ISNUMBER(SEARCH("I-MUAP",$E$14))),F12&lt;2500)</formula>
    </cfRule>
  </conditionalFormatting>
  <conditionalFormatting sqref="F12:G12">
    <cfRule type="cellIs" dxfId="640" priority="36" operator="lessThan">
      <formula>1000</formula>
    </cfRule>
  </conditionalFormatting>
  <conditionalFormatting sqref="F14:G26">
    <cfRule type="cellIs" dxfId="639" priority="2" operator="lessThan">
      <formula>1000</formula>
    </cfRule>
  </conditionalFormatting>
  <conditionalFormatting sqref="G12">
    <cfRule type="cellIs" dxfId="638" priority="37" operator="greaterThan">
      <formula>3001</formula>
    </cfRule>
  </conditionalFormatting>
  <conditionalFormatting sqref="H11">
    <cfRule type="expression" dxfId="637" priority="39">
      <formula>((G14-50)/I14)&lt;950</formula>
    </cfRule>
  </conditionalFormatting>
  <conditionalFormatting sqref="H12">
    <cfRule type="expression" dxfId="636" priority="38">
      <formula>((G14-50)/I14)&lt;950</formula>
    </cfRule>
  </conditionalFormatting>
  <conditionalFormatting sqref="H14:H26">
    <cfRule type="cellIs" dxfId="635" priority="3" operator="lessThan">
      <formula>400</formula>
    </cfRule>
  </conditionalFormatting>
  <conditionalFormatting sqref="H33">
    <cfRule type="expression" dxfId="634" priority="47">
      <formula>((#REF!-50)/#REF!)&lt;950</formula>
    </cfRule>
  </conditionalFormatting>
  <conditionalFormatting sqref="J14:J30">
    <cfRule type="cellIs" dxfId="633" priority="15" operator="greaterThan">
      <formula>0</formula>
    </cfRule>
  </conditionalFormatting>
  <conditionalFormatting sqref="J36:J46">
    <cfRule type="expression" dxfId="632" priority="23">
      <formula>D36&gt;0</formula>
    </cfRule>
  </conditionalFormatting>
  <conditionalFormatting sqref="J48:J54">
    <cfRule type="expression" dxfId="631" priority="28">
      <formula>#REF!="EURO"</formula>
    </cfRule>
  </conditionalFormatting>
  <conditionalFormatting sqref="K14:K32">
    <cfRule type="cellIs" dxfId="630" priority="1" operator="greaterThan">
      <formula>0</formula>
    </cfRule>
  </conditionalFormatting>
  <conditionalFormatting sqref="K36:K46">
    <cfRule type="cellIs" dxfId="629" priority="29" operator="greaterThan">
      <formula>0</formula>
    </cfRule>
  </conditionalFormatting>
  <conditionalFormatting sqref="K48:K54">
    <cfRule type="expression" dxfId="628" priority="24">
      <formula>$C$9="PLN"</formula>
    </cfRule>
    <cfRule type="expression" dxfId="627" priority="25">
      <formula>$C$9="CZK"</formula>
    </cfRule>
    <cfRule type="expression" dxfId="626" priority="26">
      <formula>$C$9="USD"</formula>
    </cfRule>
    <cfRule type="expression" dxfId="625" priority="27">
      <formula>$C$9="EURO"</formula>
    </cfRule>
  </conditionalFormatting>
  <conditionalFormatting sqref="L14:L32">
    <cfRule type="expression" dxfId="624" priority="13">
      <formula>$D$9&lt;0</formula>
    </cfRule>
    <cfRule type="expression" dxfId="623" priority="14">
      <formula>$D$9&gt;0</formula>
    </cfRule>
  </conditionalFormatting>
  <conditionalFormatting sqref="L36:L46">
    <cfRule type="expression" dxfId="622" priority="12">
      <formula>$D$9&gt;0</formula>
    </cfRule>
    <cfRule type="expression" dxfId="621" priority="11">
      <formula>$D$9&lt;0</formula>
    </cfRule>
  </conditionalFormatting>
  <conditionalFormatting sqref="N9 N12">
    <cfRule type="expression" dxfId="620" priority="43">
      <formula>$C$9="PLN"</formula>
    </cfRule>
    <cfRule type="expression" dxfId="619" priority="44">
      <formula>$C$9="CZK"</formula>
    </cfRule>
    <cfRule type="expression" dxfId="618" priority="45">
      <formula>$C$9="USD"</formula>
    </cfRule>
    <cfRule type="expression" dxfId="617" priority="46">
      <formula>$C$9="EURO"</formula>
    </cfRule>
  </conditionalFormatting>
  <conditionalFormatting sqref="N14:N32">
    <cfRule type="expression" dxfId="616" priority="20">
      <formula>$C$9="EURO"</formula>
    </cfRule>
    <cfRule type="expression" dxfId="615" priority="19">
      <formula>$C$9="USD"</formula>
    </cfRule>
    <cfRule type="expression" dxfId="614" priority="18">
      <formula>$C$9="CZK"</formula>
    </cfRule>
    <cfRule type="expression" dxfId="613" priority="17">
      <formula>$C$9="PLN"</formula>
    </cfRule>
  </conditionalFormatting>
  <conditionalFormatting sqref="N18:N20">
    <cfRule type="cellIs" dxfId="612" priority="21" operator="greaterThan">
      <formula>0</formula>
    </cfRule>
  </conditionalFormatting>
  <conditionalFormatting sqref="N35:N46">
    <cfRule type="expression" dxfId="611" priority="8">
      <formula>$C$9="EURO"</formula>
    </cfRule>
    <cfRule type="expression" dxfId="610" priority="7">
      <formula>$C$9="USD"</formula>
    </cfRule>
    <cfRule type="expression" dxfId="609" priority="6">
      <formula>$C$9="CZK"</formula>
    </cfRule>
    <cfRule type="expression" dxfId="608" priority="5">
      <formula>$C$9="PLN"</formula>
    </cfRule>
  </conditionalFormatting>
  <conditionalFormatting sqref="N14:O32">
    <cfRule type="cellIs" dxfId="607" priority="16" operator="greaterThan">
      <formula>0</formula>
    </cfRule>
  </conditionalFormatting>
  <conditionalFormatting sqref="N36:O46">
    <cfRule type="cellIs" dxfId="606" priority="4" operator="greaterThan">
      <formula>0</formula>
    </cfRule>
  </conditionalFormatting>
  <conditionalFormatting sqref="O14:O20">
    <cfRule type="cellIs" dxfId="605" priority="22" operator="greaterThan">
      <formula>0</formula>
    </cfRule>
  </conditionalFormatting>
  <dataValidations count="3">
    <dataValidation type="list" allowBlank="1" showInputMessage="1" showErrorMessage="1" sqref="E14:E32" xr:uid="{00000000-0002-0000-9200-000000000000}">
      <formula1>"0,1,2,3,4,5,6,7,8,9,10,11,12,13,14,15,16,17,18,19,20"</formula1>
    </dataValidation>
    <dataValidation operator="greaterThan" allowBlank="1" showInputMessage="1" showErrorMessage="1" sqref="F14:F26" xr:uid="{00000000-0002-0000-9200-000001000000}"/>
    <dataValidation type="list" allowBlank="1" showInputMessage="1" showErrorMessage="1" sqref="H34" xr:uid="{00000000-0002-0000-92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IF('[16]CANOPY (2)'!G3="","",'[16]CANOPY (2)'!G3)</f>
        <v>#REF!</v>
      </c>
      <c r="I2" s="975"/>
      <c r="J2" s="975"/>
      <c r="K2" s="975"/>
      <c r="L2" s="976"/>
      <c r="M2" s="483" t="s">
        <v>368</v>
      </c>
      <c r="N2" s="974" t="e">
        <f>IF('[16]CANOPY (2)'!C3="","",'[16]CANOPY (2)'!C3)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IF('[16]CANOPY (2)'!G3="","",'[16]CANOPY (2)'!G3)</f>
        <v>#REF!</v>
      </c>
      <c r="I2" s="975"/>
      <c r="J2" s="975"/>
      <c r="K2" s="975"/>
      <c r="L2" s="976"/>
      <c r="M2" s="483" t="s">
        <v>368</v>
      </c>
      <c r="N2" s="974" t="e">
        <f>IF('[16]CANOPY (2)'!C3="","",'[16]CANOPY (2)'!C3)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sheetPr>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8.832031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IF('[16]CANOPY (2)'!G3="","",'[16]CANOPY (2)'!G3)</f>
        <v>#REF!</v>
      </c>
      <c r="I2" s="975"/>
      <c r="J2" s="975"/>
      <c r="K2" s="975"/>
      <c r="L2" s="976"/>
      <c r="M2" s="483" t="s">
        <v>368</v>
      </c>
      <c r="N2" s="974" t="e">
        <f>IF('[16]CANOPY (2)'!C3="","",'[16]CANOPY (2)'!C3)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IF('[16]CANOPY (2)'!C3="","",'[16]CANOPY (2)'!C3)</f>
        <v>#REF!</v>
      </c>
      <c r="D3" s="979"/>
      <c r="E3" s="103" t="s">
        <v>4</v>
      </c>
      <c r="F3" s="935" t="e">
        <f>IF('[16]CANOPY (2)'!G3="","",'[16]CANOPY (2)'!G3)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IF('[16]CANOPY (2)'!C5="","",'[16]CANOPY (2)'!C5)</f>
        <v>#REF!</v>
      </c>
      <c r="D5" s="979"/>
      <c r="E5" s="103" t="s">
        <v>8</v>
      </c>
      <c r="F5" s="935" t="e">
        <f>IF('[16]CANOPY (2)'!G5="","",'[16]CANOPY (2)'!G5)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IF('[16]CANOPY (2)'!C7="","",'[16]CANOPY (2)'!C7)</f>
        <v>#REF!</v>
      </c>
      <c r="D7" s="979"/>
      <c r="E7" s="103" t="s">
        <v>12</v>
      </c>
      <c r="F7" s="939" t="e">
        <f>IF('[16]CANOPY (2)'!G7="","",'[16]CANOPY (2)'!G7)</f>
        <v>#REF!</v>
      </c>
      <c r="G7" s="979"/>
      <c r="H7" s="245"/>
      <c r="J7" s="240" t="s">
        <v>14</v>
      </c>
      <c r="K7" s="787" t="e">
        <f>IF('[16]CANOPY (2)'!O7="","",'[16]CANOPY (2)'!O7)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604" priority="24">
      <formula>B9="CURRENCY"</formula>
    </cfRule>
    <cfRule type="containsText" dxfId="603" priority="23" operator="containsText" text="SELECT">
      <formula>NOT(ISERROR(SEARCH("SELECT",B9)))</formula>
    </cfRule>
  </conditionalFormatting>
  <conditionalFormatting sqref="B13:B24">
    <cfRule type="expression" dxfId="602" priority="6">
      <formula>$C13&gt;0</formula>
    </cfRule>
  </conditionalFormatting>
  <conditionalFormatting sqref="B25:B39">
    <cfRule type="expression" dxfId="601" priority="5">
      <formula>$C25&gt;0</formula>
    </cfRule>
  </conditionalFormatting>
  <conditionalFormatting sqref="B40:B42">
    <cfRule type="expression" dxfId="600" priority="4">
      <formula>$C40&gt;0</formula>
    </cfRule>
  </conditionalFormatting>
  <conditionalFormatting sqref="B43:B50">
    <cfRule type="expression" dxfId="599" priority="1">
      <formula>$C43&gt;0</formula>
    </cfRule>
  </conditionalFormatting>
  <conditionalFormatting sqref="B51:B54">
    <cfRule type="expression" dxfId="598" priority="3">
      <formula>$C51&gt;0</formula>
    </cfRule>
  </conditionalFormatting>
  <conditionalFormatting sqref="B57:B66">
    <cfRule type="expression" dxfId="597" priority="2">
      <formula>$C57&gt;0</formula>
    </cfRule>
  </conditionalFormatting>
  <conditionalFormatting sqref="C13:C54">
    <cfRule type="cellIs" dxfId="596" priority="10" operator="lessThan">
      <formula>1</formula>
    </cfRule>
  </conditionalFormatting>
  <conditionalFormatting sqref="C57:C66">
    <cfRule type="cellIs" dxfId="595" priority="26" operator="equal">
      <formula>0</formula>
    </cfRule>
  </conditionalFormatting>
  <conditionalFormatting sqref="C9:D9">
    <cfRule type="cellIs" dxfId="594" priority="20" operator="lessThan">
      <formula>0</formula>
    </cfRule>
    <cfRule type="cellIs" dxfId="593" priority="21" operator="greaterThan">
      <formula>0</formula>
    </cfRule>
  </conditionalFormatting>
  <conditionalFormatting sqref="F13:F54">
    <cfRule type="expression" dxfId="592" priority="9">
      <formula>C13&gt;0</formula>
    </cfRule>
  </conditionalFormatting>
  <conditionalFormatting sqref="F57:F66">
    <cfRule type="expression" dxfId="591" priority="19">
      <formula>C57&gt;0</formula>
    </cfRule>
  </conditionalFormatting>
  <conditionalFormatting sqref="F58:F66">
    <cfRule type="expression" dxfId="590" priority="25">
      <formula>C58&lt;1</formula>
    </cfRule>
  </conditionalFormatting>
  <conditionalFormatting sqref="G13:G54">
    <cfRule type="cellIs" dxfId="589" priority="8" operator="greaterThan">
      <formula>0</formula>
    </cfRule>
  </conditionalFormatting>
  <conditionalFormatting sqref="G57:G66">
    <cfRule type="cellIs" dxfId="588" priority="18" operator="greaterThan">
      <formula>0</formula>
    </cfRule>
  </conditionalFormatting>
  <conditionalFormatting sqref="H13:H54">
    <cfRule type="expression" dxfId="587" priority="15">
      <formula>$C$9&gt;0</formula>
    </cfRule>
    <cfRule type="expression" dxfId="586" priority="16">
      <formula>$C$9&lt;0</formula>
    </cfRule>
  </conditionalFormatting>
  <conditionalFormatting sqref="H57:H66">
    <cfRule type="expression" dxfId="585" priority="32">
      <formula>$C$9&lt;0</formula>
    </cfRule>
    <cfRule type="expression" dxfId="584" priority="31">
      <formula>$C$9&gt;0</formula>
    </cfRule>
  </conditionalFormatting>
  <conditionalFormatting sqref="J2:J6 J75:J1048576">
    <cfRule type="expression" dxfId="583" priority="27">
      <formula>$B$9="EURO"</formula>
    </cfRule>
  </conditionalFormatting>
  <conditionalFormatting sqref="J8:J67">
    <cfRule type="expression" dxfId="582" priority="11">
      <formula>$B$9="EURO"</formula>
    </cfRule>
  </conditionalFormatting>
  <conditionalFormatting sqref="J9 J56:J66">
    <cfRule type="expression" dxfId="581" priority="28">
      <formula>$B$9="USD"</formula>
    </cfRule>
    <cfRule type="expression" dxfId="580" priority="29">
      <formula>$B$9="PLN"</formula>
    </cfRule>
    <cfRule type="expression" dxfId="579" priority="30">
      <formula>$B$9="CZK"</formula>
    </cfRule>
  </conditionalFormatting>
  <conditionalFormatting sqref="J12:J54">
    <cfRule type="expression" dxfId="578" priority="14">
      <formula>$B$9="CZK"</formula>
    </cfRule>
    <cfRule type="expression" dxfId="577" priority="13">
      <formula>$B$9="PLN"</formula>
    </cfRule>
    <cfRule type="expression" dxfId="576" priority="12">
      <formula>$B$9="USD"</formula>
    </cfRule>
  </conditionalFormatting>
  <conditionalFormatting sqref="J68:J74">
    <cfRule type="expression" dxfId="575" priority="22">
      <formula>$F$10="EURO"</formula>
    </cfRule>
  </conditionalFormatting>
  <conditionalFormatting sqref="J13:K54">
    <cfRule type="cellIs" dxfId="574" priority="7" operator="greaterThan">
      <formula>0</formula>
    </cfRule>
  </conditionalFormatting>
  <conditionalFormatting sqref="J57:K66">
    <cfRule type="cellIs" dxfId="573" priority="17" operator="greaterThan">
      <formula>0</formula>
    </cfRule>
  </conditionalFormatting>
  <dataValidations count="1">
    <dataValidation type="list" allowBlank="1" showInputMessage="1" showErrorMessage="1" sqref="D55" xr:uid="{00000000-0002-0000-96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sheetPr>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IF('[16]CANOPY (2)'!C3="","",'[16]CANOPY (2)'!C3)</f>
        <v>#REF!</v>
      </c>
      <c r="D3" s="979"/>
      <c r="E3" s="103" t="s">
        <v>4</v>
      </c>
      <c r="F3" s="935" t="e">
        <f>IF('[16]CANOPY (2)'!G3="","",'[16]CANOPY (2)'!G3)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IF('[16]CANOPY (2)'!C5="","",'[16]CANOPY (2)'!C5)</f>
        <v>#REF!</v>
      </c>
      <c r="D5" s="979"/>
      <c r="E5" s="103" t="s">
        <v>8</v>
      </c>
      <c r="F5" s="935" t="e">
        <f>IF('[16]CANOPY (2)'!G5="","",'[16]CANOPY (2)'!G5)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IF('[16]CANOPY (2)'!C7="","",'[16]CANOPY (2)'!C7)</f>
        <v>#REF!</v>
      </c>
      <c r="D7" s="979"/>
      <c r="E7" s="103" t="s">
        <v>12</v>
      </c>
      <c r="F7" s="939" t="e">
        <f>IF('[16]CANOPY (2)'!G7="","",'[16]CANOPY (2)'!G7)</f>
        <v>#REF!</v>
      </c>
      <c r="G7" s="979"/>
      <c r="H7" s="245"/>
      <c r="J7" s="240" t="s">
        <v>14</v>
      </c>
      <c r="K7" s="787" t="e">
        <f>IF('[16]CANOPY (2)'!O7="","",'[16]CANOPY (2)'!O7)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572" priority="27">
      <formula>B9="CURRENCY"</formula>
    </cfRule>
    <cfRule type="containsText" dxfId="571" priority="26" operator="containsText" text="SELECT">
      <formula>NOT(ISERROR(SEARCH("SELECT",B9)))</formula>
    </cfRule>
  </conditionalFormatting>
  <conditionalFormatting sqref="B13:B24">
    <cfRule type="expression" dxfId="570" priority="4">
      <formula>$C13&gt;0</formula>
    </cfRule>
  </conditionalFormatting>
  <conditionalFormatting sqref="B25:B39">
    <cfRule type="expression" dxfId="569" priority="3">
      <formula>$C25&gt;0</formula>
    </cfRule>
  </conditionalFormatting>
  <conditionalFormatting sqref="B40:B54">
    <cfRule type="expression" dxfId="568" priority="2">
      <formula>$C40&gt;0</formula>
    </cfRule>
  </conditionalFormatting>
  <conditionalFormatting sqref="B57:B66">
    <cfRule type="expression" dxfId="567" priority="1">
      <formula>$C57&gt;0</formula>
    </cfRule>
  </conditionalFormatting>
  <conditionalFormatting sqref="C13:C54">
    <cfRule type="cellIs" dxfId="566" priority="13" operator="lessThan">
      <formula>1</formula>
    </cfRule>
  </conditionalFormatting>
  <conditionalFormatting sqref="C57:C66">
    <cfRule type="cellIs" dxfId="565" priority="29" operator="equal">
      <formula>0</formula>
    </cfRule>
  </conditionalFormatting>
  <conditionalFormatting sqref="C9:D9">
    <cfRule type="cellIs" dxfId="564" priority="24" operator="greaterThan">
      <formula>0</formula>
    </cfRule>
    <cfRule type="cellIs" dxfId="563" priority="23" operator="lessThan">
      <formula>0</formula>
    </cfRule>
  </conditionalFormatting>
  <conditionalFormatting sqref="F13:F54">
    <cfRule type="expression" dxfId="562" priority="12">
      <formula>C13&gt;0</formula>
    </cfRule>
  </conditionalFormatting>
  <conditionalFormatting sqref="F57:F66">
    <cfRule type="expression" dxfId="561" priority="22">
      <formula>C57&gt;0</formula>
    </cfRule>
  </conditionalFormatting>
  <conditionalFormatting sqref="F58:F66">
    <cfRule type="expression" dxfId="560" priority="28">
      <formula>C58&lt;1</formula>
    </cfRule>
  </conditionalFormatting>
  <conditionalFormatting sqref="G13:G54">
    <cfRule type="cellIs" dxfId="559" priority="11" operator="greaterThan">
      <formula>0</formula>
    </cfRule>
  </conditionalFormatting>
  <conditionalFormatting sqref="G57:G66">
    <cfRule type="cellIs" dxfId="558" priority="21" operator="greaterThan">
      <formula>0</formula>
    </cfRule>
  </conditionalFormatting>
  <conditionalFormatting sqref="H13:H54">
    <cfRule type="expression" dxfId="557" priority="18">
      <formula>$C$9&gt;0</formula>
    </cfRule>
    <cfRule type="expression" dxfId="556" priority="19">
      <formula>$C$9&lt;0</formula>
    </cfRule>
  </conditionalFormatting>
  <conditionalFormatting sqref="H57:H66">
    <cfRule type="expression" dxfId="555" priority="34">
      <formula>$C$9&gt;0</formula>
    </cfRule>
    <cfRule type="expression" dxfId="554" priority="35">
      <formula>$C$9&lt;0</formula>
    </cfRule>
  </conditionalFormatting>
  <conditionalFormatting sqref="J2:J6 J75:J1048576">
    <cfRule type="expression" dxfId="553" priority="30">
      <formula>$B$9="EURO"</formula>
    </cfRule>
  </conditionalFormatting>
  <conditionalFormatting sqref="J8:J67">
    <cfRule type="expression" dxfId="552" priority="14">
      <formula>$B$9="EURO"</formula>
    </cfRule>
  </conditionalFormatting>
  <conditionalFormatting sqref="J9 J56:J66">
    <cfRule type="expression" dxfId="551" priority="31">
      <formula>$B$9="USD"</formula>
    </cfRule>
    <cfRule type="expression" dxfId="550" priority="32">
      <formula>$B$9="PLN"</formula>
    </cfRule>
    <cfRule type="expression" dxfId="549" priority="33">
      <formula>$B$9="CZK"</formula>
    </cfRule>
  </conditionalFormatting>
  <conditionalFormatting sqref="J12:J54">
    <cfRule type="expression" dxfId="548" priority="17">
      <formula>$B$9="CZK"</formula>
    </cfRule>
    <cfRule type="expression" dxfId="547" priority="16">
      <formula>$B$9="PLN"</formula>
    </cfRule>
    <cfRule type="expression" dxfId="546" priority="15">
      <formula>$B$9="USD"</formula>
    </cfRule>
  </conditionalFormatting>
  <conditionalFormatting sqref="J68:J74">
    <cfRule type="expression" dxfId="545" priority="25">
      <formula>$F$10="EURO"</formula>
    </cfRule>
  </conditionalFormatting>
  <conditionalFormatting sqref="J13:K54">
    <cfRule type="cellIs" dxfId="544" priority="10" operator="greaterThan">
      <formula>0</formula>
    </cfRule>
  </conditionalFormatting>
  <conditionalFormatting sqref="J57:K66">
    <cfRule type="cellIs" dxfId="543" priority="20" operator="greaterThan">
      <formula>0</formula>
    </cfRule>
  </conditionalFormatting>
  <conditionalFormatting sqref="M12:P54">
    <cfRule type="expression" dxfId="542" priority="9">
      <formula>$B$9="CZK"</formula>
    </cfRule>
    <cfRule type="expression" dxfId="541" priority="8">
      <formula>$B$9="PLN"</formula>
    </cfRule>
    <cfRule type="expression" dxfId="540" priority="7">
      <formula>$B$9="USD"</formula>
    </cfRule>
    <cfRule type="expression" dxfId="539" priority="6">
      <formula>$B$9="EURO"</formula>
    </cfRule>
  </conditionalFormatting>
  <conditionalFormatting sqref="M13:P54">
    <cfRule type="cellIs" dxfId="538" priority="5" operator="greaterThan">
      <formula>0</formula>
    </cfRule>
  </conditionalFormatting>
  <dataValidations count="3">
    <dataValidation type="list" allowBlank="1" showInputMessage="1" showErrorMessage="1" sqref="D26" xr:uid="{00000000-0002-0000-9700-000000000000}">
      <formula1>$H$17:$H$21</formula1>
    </dataValidation>
    <dataValidation type="list" allowBlank="1" showInputMessage="1" showErrorMessage="1" sqref="D55" xr:uid="{00000000-0002-0000-9700-000001000000}">
      <formula1>$B$3:$B$15</formula1>
    </dataValidation>
    <dataValidation type="list" allowBlank="1" showInputMessage="1" showErrorMessage="1" sqref="D13" xr:uid="{00000000-0002-0000-9700-000002000000}">
      <formula1>FanSize</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sheetPr>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IF('[16]CANOPY (2)'!C3="","",'[16]CANOPY (2)'!C3)</f>
        <v>#REF!</v>
      </c>
      <c r="D3" s="979"/>
      <c r="E3" s="122" t="s">
        <v>4</v>
      </c>
      <c r="F3" s="987" t="e">
        <f>IF('[16]CANOPY (2)'!G3="","",'[16]CANOPY (2)'!G3)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IF('[16]CANOPY (2)'!C5="","",'[16]CANOPY (2)'!C5)</f>
        <v>#REF!</v>
      </c>
      <c r="D5" s="979"/>
      <c r="E5" s="122" t="s">
        <v>8</v>
      </c>
      <c r="F5" s="987" t="e">
        <f>IF('[16]CANOPY (2)'!G5="","",'[16]CANOPY (2)'!G5)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IF('[16]CANOPY (2)'!C7="","",'[16]CANOPY (2)'!C7)</f>
        <v>#REF!</v>
      </c>
      <c r="D7" s="979"/>
      <c r="E7" s="122" t="s">
        <v>12</v>
      </c>
      <c r="F7" s="989" t="e">
        <f>IF('[16]CANOPY (2)'!G7="","",'[16]CANOPY (2)'!G7)</f>
        <v>#REF!</v>
      </c>
      <c r="G7" s="979"/>
      <c r="H7" s="979"/>
      <c r="J7" s="197" t="s">
        <v>14</v>
      </c>
      <c r="K7" s="484" t="e">
        <f>IF('[16]CANOPY (2)'!O7="","",'[16]CANOPY (2)'!O7)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537" priority="8" operator="containsText" text="SELECT">
      <formula>NOT(ISERROR(SEARCH("SELECT",B10)))</formula>
    </cfRule>
    <cfRule type="expression" dxfId="536" priority="9">
      <formula>B10="CURRENCY"</formula>
    </cfRule>
  </conditionalFormatting>
  <conditionalFormatting sqref="B14:B41">
    <cfRule type="expression" dxfId="535" priority="2">
      <formula>$C14&gt;0</formula>
    </cfRule>
  </conditionalFormatting>
  <conditionalFormatting sqref="B44:B55">
    <cfRule type="expression" dxfId="534" priority="1">
      <formula>$C44&gt;0</formula>
    </cfRule>
  </conditionalFormatting>
  <conditionalFormatting sqref="C14:C41 C44:C55">
    <cfRule type="cellIs" dxfId="533" priority="12" operator="equal">
      <formula>0</formula>
    </cfRule>
  </conditionalFormatting>
  <conditionalFormatting sqref="C10:D10">
    <cfRule type="cellIs" dxfId="532" priority="6" operator="lessThan">
      <formula>0</formula>
    </cfRule>
    <cfRule type="cellIs" dxfId="531" priority="7" operator="greaterThan">
      <formula>0</formula>
    </cfRule>
  </conditionalFormatting>
  <conditionalFormatting sqref="E12:E13">
    <cfRule type="cellIs" dxfId="530" priority="10" operator="greaterThan">
      <formula>0</formula>
    </cfRule>
    <cfRule type="cellIs" dxfId="529" priority="11" operator="lessThan">
      <formula>0</formula>
    </cfRule>
  </conditionalFormatting>
  <conditionalFormatting sqref="F14:F41 F44:F55">
    <cfRule type="expression" dxfId="528" priority="5">
      <formula>C14&gt;0</formula>
    </cfRule>
  </conditionalFormatting>
  <conditionalFormatting sqref="G14:G41 G44:G55">
    <cfRule type="cellIs" dxfId="527" priority="4" operator="greaterThan">
      <formula>0</formula>
    </cfRule>
  </conditionalFormatting>
  <conditionalFormatting sqref="H14:H41 H44:H55">
    <cfRule type="expression" dxfId="526" priority="17">
      <formula>$C$10&lt;0</formula>
    </cfRule>
    <cfRule type="expression" dxfId="525" priority="18">
      <formula>$C$10&gt;0</formula>
    </cfRule>
  </conditionalFormatting>
  <conditionalFormatting sqref="J1:J6 J8:J11 J13:J1048576">
    <cfRule type="expression" dxfId="524" priority="13">
      <formula>$B$10="EURO"</formula>
    </cfRule>
  </conditionalFormatting>
  <conditionalFormatting sqref="J10 J13:J41 J43:J55">
    <cfRule type="expression" dxfId="523" priority="14">
      <formula>$B$10="PLN"</formula>
    </cfRule>
    <cfRule type="expression" dxfId="522" priority="15">
      <formula>$B$10="CZK"</formula>
    </cfRule>
    <cfRule type="expression" dxfId="521" priority="16">
      <formula>$B$10="USD"</formula>
    </cfRule>
  </conditionalFormatting>
  <conditionalFormatting sqref="J14:K41 J44:K56">
    <cfRule type="cellIs" dxfId="520" priority="3" operator="greaterThan">
      <formula>0</formula>
    </cfRule>
  </conditionalFormatting>
  <dataValidations count="1">
    <dataValidation type="list" allowBlank="1" showInputMessage="1" showErrorMessage="1" sqref="F12:F13" xr:uid="{00000000-0002-0000-98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8.832031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8.832031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8.832031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8.832031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8.832031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8.832031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8.832031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8.832031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8.832031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8.832031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8.832031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8.832031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8.832031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8.832031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8.832031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8.832031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8.832031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8.832031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8.832031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8.832031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8.832031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8.832031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8.832031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8.832031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8.832031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8.832031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8.832031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8.832031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8.832031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8.832031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8.832031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8.832031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8.832031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8.832031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8.832031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8.832031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8.832031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8.832031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8.832031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8.832031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8.832031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8.832031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8.832031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8.832031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8.832031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8.832031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8.832031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8.832031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8.832031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8.832031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8.832031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8.832031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8.832031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8.832031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8.832031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8.832031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8.832031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8.832031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8.832031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8.832031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8.832031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8.832031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8.832031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8.832031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8.832031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8.832031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8.832031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8.832031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8.832031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8.832031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8.832031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8.832031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8.832031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8.832031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8.832031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8.832031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8.832031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8.832031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8.832031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8.832031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8.832031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8.832031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8.832031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8.832031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8.832031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8.832031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8.832031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8.832031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8.832031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8.832031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8.832031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8.832031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8.832031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8.832031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8.832031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8.832031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8.832031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8.832031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8.832031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8.832031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8.832031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8.832031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8.832031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8.832031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8.832031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8.832031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8.832031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8.832031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8.832031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8.832031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8.832031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8.832031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8.832031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8.832031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8.832031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8.832031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8.832031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8.832031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8.832031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8.832031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8.832031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8.832031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8.832031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8.832031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8.832031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8.832031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8.832031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IF('[16]CANOPY (2)'!C3="","",'[16]CANOPY (2)'!C3)</f>
        <v>#REF!</v>
      </c>
      <c r="D3" s="990"/>
      <c r="E3" s="129"/>
      <c r="F3" s="132" t="s">
        <v>4</v>
      </c>
      <c r="G3" s="938" t="e">
        <f>IF('[16]CANOPY (2)'!G3="","",'[16]CANOPY (2)'!G3)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IF('[16]CANOPY (2)'!C5="","",'[16]CANOPY (2)'!C5)</f>
        <v>#REF!</v>
      </c>
      <c r="D5" s="990"/>
      <c r="E5" s="131"/>
      <c r="F5" s="132" t="s">
        <v>8</v>
      </c>
      <c r="G5" s="938" t="e">
        <f>IF('[16]CANOPY (2)'!G5="","",'[16]CANOPY (2)'!G5)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IF('[16]CANOPY (2)'!C7="","",'[16]CANOPY (2)'!C7)</f>
        <v>#REF!</v>
      </c>
      <c r="D7" s="990"/>
      <c r="E7" s="135"/>
      <c r="F7" s="136" t="s">
        <v>12</v>
      </c>
      <c r="G7" s="939" t="e">
        <f>IF('[16]CANOPY (2)'!G7="","",'[16]CANOPY (2)'!G7)</f>
        <v>#REF!</v>
      </c>
      <c r="H7" s="990"/>
      <c r="I7" s="51"/>
      <c r="J7" s="280"/>
      <c r="K7" s="280" t="s">
        <v>14</v>
      </c>
      <c r="L7" s="484" t="e">
        <f>IF('[16]CANOPY (2)'!O7="","",'[16]CANOPY (2)'!O7)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519" priority="26">
      <formula>B9="CURRENCY"</formula>
    </cfRule>
    <cfRule type="containsText" dxfId="518" priority="25" operator="containsText" text="SELECT">
      <formula>NOT(ISERROR(SEARCH("SELECT",B9)))</formula>
    </cfRule>
  </conditionalFormatting>
  <conditionalFormatting sqref="B15:B29">
    <cfRule type="expression" dxfId="517" priority="9">
      <formula>$D15&gt;0</formula>
    </cfRule>
  </conditionalFormatting>
  <conditionalFormatting sqref="B49 E49:F49">
    <cfRule type="expression" dxfId="516" priority="49">
      <formula>C40="select controls"</formula>
    </cfRule>
  </conditionalFormatting>
  <conditionalFormatting sqref="C13">
    <cfRule type="containsText" dxfId="515" priority="29" operator="containsText" text="SELECT">
      <formula>NOT(ISERROR(SEARCH("SELECT",C13)))</formula>
    </cfRule>
  </conditionalFormatting>
  <conditionalFormatting sqref="C15:C22">
    <cfRule type="containsText" dxfId="514" priority="15" operator="containsText" text="SIZE">
      <formula>NOT(ISERROR(SEARCH("SIZE",C15)))</formula>
    </cfRule>
  </conditionalFormatting>
  <conditionalFormatting sqref="C25">
    <cfRule type="containsText" dxfId="513" priority="37" operator="containsText" text="SELECT CONTROLS">
      <formula>NOT(ISERROR(SEARCH("SELECT CONTROLS",C25)))</formula>
    </cfRule>
  </conditionalFormatting>
  <conditionalFormatting sqref="C26">
    <cfRule type="expression" dxfId="512" priority="32">
      <formula>$C$25="SMARTEC"</formula>
    </cfRule>
    <cfRule type="containsText" dxfId="511" priority="31" operator="containsText" text="st/st">
      <formula>NOT(ISERROR(SEARCH("st/st",C26)))</formula>
    </cfRule>
  </conditionalFormatting>
  <conditionalFormatting sqref="C31:C32">
    <cfRule type="cellIs" dxfId="510" priority="20" operator="greaterThan">
      <formula>0</formula>
    </cfRule>
  </conditionalFormatting>
  <conditionalFormatting sqref="C52:C61">
    <cfRule type="cellIs" dxfId="509" priority="28" operator="lessThan">
      <formula>1</formula>
    </cfRule>
  </conditionalFormatting>
  <conditionalFormatting sqref="C9:D9">
    <cfRule type="cellIs" dxfId="508" priority="23" operator="lessThan">
      <formula>0</formula>
    </cfRule>
    <cfRule type="cellIs" dxfId="507" priority="24" operator="greaterThan">
      <formula>0</formula>
    </cfRule>
  </conditionalFormatting>
  <conditionalFormatting sqref="C29:D29">
    <cfRule type="expression" dxfId="506" priority="36">
      <formula>$C$25="REMOTE TOUCH SCREEN"</formula>
    </cfRule>
    <cfRule type="expression" dxfId="505" priority="35">
      <formula>$C$25="SMARTEC"</formula>
    </cfRule>
  </conditionalFormatting>
  <conditionalFormatting sqref="D26">
    <cfRule type="expression" dxfId="504" priority="33">
      <formula>C25="SMARTEC"</formula>
    </cfRule>
    <cfRule type="expression" dxfId="503" priority="30">
      <formula>C26="st/st enclosure"</formula>
    </cfRule>
  </conditionalFormatting>
  <conditionalFormatting sqref="D29">
    <cfRule type="expression" dxfId="502" priority="34">
      <formula>$C$25="SMARTEC"</formula>
    </cfRule>
  </conditionalFormatting>
  <conditionalFormatting sqref="D38">
    <cfRule type="expression" dxfId="501" priority="48">
      <formula>#REF!="SMARTEC"</formula>
    </cfRule>
    <cfRule type="expression" dxfId="500" priority="47">
      <formula>C38="st/st enclosure"</formula>
    </cfRule>
  </conditionalFormatting>
  <conditionalFormatting sqref="E39:E43">
    <cfRule type="expression" dxfId="499" priority="46">
      <formula>#REF!="select controls"</formula>
    </cfRule>
  </conditionalFormatting>
  <conditionalFormatting sqref="E44:F45 B45:B48 E46:E47 E48:F48">
    <cfRule type="expression" dxfId="498" priority="27">
      <formula>C38="select controls"</formula>
    </cfRule>
  </conditionalFormatting>
  <conditionalFormatting sqref="F40">
    <cfRule type="expression" dxfId="497" priority="1">
      <formula>G34="select controls"</formula>
    </cfRule>
  </conditionalFormatting>
  <conditionalFormatting sqref="G15:G36">
    <cfRule type="cellIs" dxfId="496" priority="2" operator="greaterThan">
      <formula>0</formula>
    </cfRule>
  </conditionalFormatting>
  <conditionalFormatting sqref="G38:G49">
    <cfRule type="cellIs" dxfId="495" priority="18" operator="greaterThan">
      <formula>0</formula>
    </cfRule>
  </conditionalFormatting>
  <conditionalFormatting sqref="G52:G61">
    <cfRule type="expression" dxfId="494" priority="8">
      <formula>C52&gt;0</formula>
    </cfRule>
  </conditionalFormatting>
  <conditionalFormatting sqref="H13 J13 L13">
    <cfRule type="expression" dxfId="493" priority="38">
      <formula>$B$9="EURO"</formula>
    </cfRule>
  </conditionalFormatting>
  <conditionalFormatting sqref="H15:H61">
    <cfRule type="cellIs" dxfId="492" priority="19" operator="greaterThan">
      <formula>0</formula>
    </cfRule>
  </conditionalFormatting>
  <conditionalFormatting sqref="I15:I36 I38:I49 I52:I61">
    <cfRule type="expression" dxfId="491" priority="44">
      <formula>$C$9&lt;0</formula>
    </cfRule>
    <cfRule type="expression" dxfId="490" priority="43">
      <formula>$C$9&gt;0</formula>
    </cfRule>
  </conditionalFormatting>
  <conditionalFormatting sqref="J37">
    <cfRule type="expression" dxfId="489" priority="42">
      <formula>$B$9="EURO"</formula>
    </cfRule>
    <cfRule type="expression" dxfId="488" priority="41">
      <formula>$B$9="USD"</formula>
    </cfRule>
    <cfRule type="expression" dxfId="487" priority="40">
      <formula>$B$9="CZK"</formula>
    </cfRule>
    <cfRule type="expression" dxfId="486" priority="39">
      <formula>$B$9="PLN"</formula>
    </cfRule>
  </conditionalFormatting>
  <conditionalFormatting sqref="J63:J69">
    <cfRule type="expression" dxfId="485" priority="45">
      <formula>#REF!="EURO"</formula>
    </cfRule>
  </conditionalFormatting>
  <conditionalFormatting sqref="K1:K36">
    <cfRule type="expression" dxfId="484" priority="5">
      <formula>$B$9="USD"</formula>
    </cfRule>
    <cfRule type="expression" dxfId="483" priority="4">
      <formula>$B$9="EURO"</formula>
    </cfRule>
    <cfRule type="expression" dxfId="482" priority="6">
      <formula>$B$9="PLN"</formula>
    </cfRule>
  </conditionalFormatting>
  <conditionalFormatting sqref="K1:K1048576">
    <cfRule type="expression" dxfId="481" priority="7">
      <formula>$B$9="CZK"</formula>
    </cfRule>
  </conditionalFormatting>
  <conditionalFormatting sqref="K15:K36">
    <cfRule type="cellIs" dxfId="480" priority="3" operator="greaterThan">
      <formula>0</formula>
    </cfRule>
  </conditionalFormatting>
  <conditionalFormatting sqref="K38:K49">
    <cfRule type="cellIs" dxfId="479" priority="14" operator="greaterThan">
      <formula>0</formula>
    </cfRule>
  </conditionalFormatting>
  <conditionalFormatting sqref="K38:K1048576">
    <cfRule type="expression" dxfId="478" priority="11">
      <formula>$B$9="EURO"</formula>
    </cfRule>
    <cfRule type="expression" dxfId="477" priority="12">
      <formula>$B$9="USD"</formula>
    </cfRule>
    <cfRule type="expression" dxfId="476" priority="13">
      <formula>$B$9="PLN"</formula>
    </cfRule>
  </conditionalFormatting>
  <conditionalFormatting sqref="K50">
    <cfRule type="cellIs" dxfId="475" priority="22" operator="greaterThan">
      <formula>0</formula>
    </cfRule>
  </conditionalFormatting>
  <conditionalFormatting sqref="K52:K61">
    <cfRule type="cellIs" dxfId="474" priority="10" operator="greaterThan">
      <formula>0</formula>
    </cfRule>
  </conditionalFormatting>
  <conditionalFormatting sqref="L15:L36 L52:L61">
    <cfRule type="cellIs" dxfId="473" priority="21" operator="greaterThan">
      <formula>0</formula>
    </cfRule>
  </conditionalFormatting>
  <conditionalFormatting sqref="L38:L49">
    <cfRule type="cellIs" dxfId="472" priority="17" operator="greaterThan">
      <formula>0</formula>
    </cfRule>
  </conditionalFormatting>
  <conditionalFormatting sqref="U40">
    <cfRule type="cellIs" dxfId="471" priority="16" operator="greaterThan">
      <formula>0</formula>
    </cfRule>
  </conditionalFormatting>
  <dataValidations count="3">
    <dataValidation type="list" allowBlank="1" showInputMessage="1" showErrorMessage="1" sqref="C25" xr:uid="{00000000-0002-0000-9900-000000000000}">
      <formula1>"SELECT CONTROLS,SMARTEC, REMOTE TOUCH SCREEN"</formula1>
    </dataValidation>
    <dataValidation type="list" allowBlank="1" showInputMessage="1" showErrorMessage="1" sqref="C13" xr:uid="{00000000-0002-0000-9900-000001000000}">
      <formula1>"SELECT MODEL,INTERNAL,EXTERNAL"</formula1>
    </dataValidation>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99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sheetPr>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8.832031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8.832031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8.832031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8.832031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8.832031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8.832031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8.832031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8.832031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8.832031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8.832031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8.832031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8.832031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8.832031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8.832031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8.832031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8.832031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8.832031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8.832031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8.832031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8.832031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8.832031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8.832031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8.832031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8.832031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8.832031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8.832031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8.832031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8.832031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8.832031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8.832031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8.832031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8.832031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8.832031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8.832031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8.832031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8.832031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8.832031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8.832031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8.832031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8.832031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8.832031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8.832031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8.832031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8.832031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8.832031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8.832031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8.832031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8.832031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8.832031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8.832031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8.832031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8.832031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8.832031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8.832031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8.832031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8.832031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8.832031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8.832031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8.832031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8.832031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8.832031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8.832031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8.832031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8.832031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8.832031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8.832031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8.832031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8.832031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8.832031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8.832031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8.832031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8.832031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8.832031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8.832031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8.832031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8.832031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8.832031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8.832031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8.832031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8.832031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8.832031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8.832031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8.832031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8.832031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8.832031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8.832031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8.832031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8.832031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8.832031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8.832031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8.832031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8.832031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8.832031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8.832031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8.832031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8.832031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8.832031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8.832031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8.832031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8.832031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8.832031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8.832031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8.832031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8.832031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8.832031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8.832031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8.832031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8.832031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8.832031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8.832031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8.832031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8.832031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8.832031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8.832031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8.832031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8.832031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8.832031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8.832031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8.832031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8.832031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8.832031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8.832031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8.832031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8.832031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8.832031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8.832031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8.832031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IF('[16]CANOPY (2)'!C3="","",'[16]CANOPY (2)'!C3)</f>
        <v>#REF!</v>
      </c>
      <c r="D3" s="990"/>
      <c r="E3" s="129"/>
      <c r="F3" s="132" t="s">
        <v>4</v>
      </c>
      <c r="G3" s="938" t="e">
        <f>IF('[16]CANOPY (2)'!G3="","",'[16]CANOPY (2)'!G3)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IF('[16]CANOPY (2)'!C5="","",'[16]CANOPY (2)'!C5)</f>
        <v>#REF!</v>
      </c>
      <c r="D5" s="990"/>
      <c r="E5" s="131"/>
      <c r="F5" s="132" t="s">
        <v>8</v>
      </c>
      <c r="G5" s="938" t="e">
        <f>IF('[16]CANOPY (2)'!G5="","",'[16]CANOPY (2)'!G5)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IF('[16]CANOPY (2)'!C7="","",'[16]CANOPY (2)'!C7)</f>
        <v>#REF!</v>
      </c>
      <c r="D7" s="990"/>
      <c r="E7" s="135"/>
      <c r="F7" s="136" t="s">
        <v>12</v>
      </c>
      <c r="G7" s="939" t="e">
        <f>IF('[16]CANOPY (2)'!G7="","",'[16]CANOPY (2)'!G7)</f>
        <v>#REF!</v>
      </c>
      <c r="H7" s="990"/>
      <c r="I7" s="51"/>
      <c r="J7" s="280"/>
      <c r="K7" s="280" t="s">
        <v>14</v>
      </c>
      <c r="L7" s="484" t="e">
        <f>IF('[16]CANOPY (2)'!O7="","",'[16]CANOPY (2)'!O7)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E53:F53"/>
    <mergeCell ref="M7:O7"/>
    <mergeCell ref="B1:C1"/>
    <mergeCell ref="C3:D3"/>
    <mergeCell ref="G3:H3"/>
    <mergeCell ref="C7:D7"/>
    <mergeCell ref="G7:H7"/>
  </mergeCells>
  <conditionalFormatting sqref="B9">
    <cfRule type="expression" dxfId="470" priority="30">
      <formula>B9="CURRENCY"</formula>
    </cfRule>
    <cfRule type="containsText" dxfId="469" priority="29" operator="containsText" text="SELECT">
      <formula>NOT(ISERROR(SEARCH("SELECT",B9)))</formula>
    </cfRule>
  </conditionalFormatting>
  <conditionalFormatting sqref="B15:B30">
    <cfRule type="expression" dxfId="468" priority="2">
      <formula>$D15&gt;0</formula>
    </cfRule>
  </conditionalFormatting>
  <conditionalFormatting sqref="B50 E50:F50">
    <cfRule type="expression" dxfId="467" priority="53">
      <formula>C41="select controls"</formula>
    </cfRule>
  </conditionalFormatting>
  <conditionalFormatting sqref="C13">
    <cfRule type="containsText" dxfId="466" priority="33" operator="containsText" text="SELECT">
      <formula>NOT(ISERROR(SEARCH("SELECT",C13)))</formula>
    </cfRule>
  </conditionalFormatting>
  <conditionalFormatting sqref="C15:C23">
    <cfRule type="containsText" dxfId="465" priority="8" operator="containsText" text="SIZE">
      <formula>NOT(ISERROR(SEARCH("SIZE",C15)))</formula>
    </cfRule>
  </conditionalFormatting>
  <conditionalFormatting sqref="C26">
    <cfRule type="containsText" dxfId="464" priority="41" operator="containsText" text="SELECT CONTROLS">
      <formula>NOT(ISERROR(SEARCH("SELECT CONTROLS",C26)))</formula>
    </cfRule>
  </conditionalFormatting>
  <conditionalFormatting sqref="C27">
    <cfRule type="expression" dxfId="463" priority="36">
      <formula>$C$26="SMARTEC"</formula>
    </cfRule>
    <cfRule type="containsText" dxfId="462" priority="35" operator="containsText" text="st/st">
      <formula>NOT(ISERROR(SEARCH("st/st",C27)))</formula>
    </cfRule>
  </conditionalFormatting>
  <conditionalFormatting sqref="C32:C33">
    <cfRule type="cellIs" dxfId="461" priority="24" operator="greaterThan">
      <formula>0</formula>
    </cfRule>
  </conditionalFormatting>
  <conditionalFormatting sqref="C53:C62">
    <cfRule type="cellIs" dxfId="460" priority="32" operator="lessThan">
      <formula>1</formula>
    </cfRule>
  </conditionalFormatting>
  <conditionalFormatting sqref="C9:D9">
    <cfRule type="cellIs" dxfId="459" priority="27" operator="lessThan">
      <formula>0</formula>
    </cfRule>
    <cfRule type="cellIs" dxfId="458" priority="28" operator="greaterThan">
      <formula>0</formula>
    </cfRule>
  </conditionalFormatting>
  <conditionalFormatting sqref="C30:D30">
    <cfRule type="expression" dxfId="457" priority="40">
      <formula>$C$26="REMOTE TOUCH SCREEN"</formula>
    </cfRule>
    <cfRule type="expression" dxfId="456" priority="39">
      <formula>$C$26="SMARTEC"</formula>
    </cfRule>
  </conditionalFormatting>
  <conditionalFormatting sqref="D27">
    <cfRule type="expression" dxfId="455" priority="37">
      <formula>C26="SMARTEC"</formula>
    </cfRule>
    <cfRule type="expression" dxfId="454" priority="34">
      <formula>C27="st/st enclosure"</formula>
    </cfRule>
  </conditionalFormatting>
  <conditionalFormatting sqref="D30">
    <cfRule type="expression" dxfId="453" priority="38">
      <formula>$C$26="SMARTEC"</formula>
    </cfRule>
  </conditionalFormatting>
  <conditionalFormatting sqref="D39">
    <cfRule type="expression" dxfId="452" priority="52">
      <formula>#REF!="SMARTEC"</formula>
    </cfRule>
    <cfRule type="expression" dxfId="451" priority="51">
      <formula>C39="st/st enclosure"</formula>
    </cfRule>
  </conditionalFormatting>
  <conditionalFormatting sqref="E40:E44">
    <cfRule type="expression" dxfId="450" priority="50">
      <formula>#REF!="select controls"</formula>
    </cfRule>
  </conditionalFormatting>
  <conditionalFormatting sqref="E45 E46:F46 B46:B47 E47:E48 B49 E49:F49">
    <cfRule type="expression" dxfId="449" priority="31">
      <formula>C39="select controls"</formula>
    </cfRule>
  </conditionalFormatting>
  <conditionalFormatting sqref="F41:F45">
    <cfRule type="expression" dxfId="448" priority="1">
      <formula>G35="select controls"</formula>
    </cfRule>
  </conditionalFormatting>
  <conditionalFormatting sqref="G15:G37">
    <cfRule type="cellIs" dxfId="447" priority="9" operator="greaterThan">
      <formula>0</formula>
    </cfRule>
  </conditionalFormatting>
  <conditionalFormatting sqref="G39:G50">
    <cfRule type="cellIs" dxfId="446" priority="14" operator="greaterThan">
      <formula>0</formula>
    </cfRule>
  </conditionalFormatting>
  <conditionalFormatting sqref="G53:G62">
    <cfRule type="expression" dxfId="445" priority="15">
      <formula>C53&gt;0</formula>
    </cfRule>
  </conditionalFormatting>
  <conditionalFormatting sqref="H13 J13 L13">
    <cfRule type="expression" dxfId="444" priority="42">
      <formula>$B$9="EURO"</formula>
    </cfRule>
  </conditionalFormatting>
  <conditionalFormatting sqref="H23">
    <cfRule type="cellIs" dxfId="443" priority="11" operator="greaterThan">
      <formula>0</formula>
    </cfRule>
  </conditionalFormatting>
  <conditionalFormatting sqref="H25:H62">
    <cfRule type="cellIs" dxfId="442" priority="23" operator="greaterThan">
      <formula>0</formula>
    </cfRule>
  </conditionalFormatting>
  <conditionalFormatting sqref="H15:L22 L53:L62">
    <cfRule type="cellIs" dxfId="441" priority="25" operator="greaterThan">
      <formula>0</formula>
    </cfRule>
  </conditionalFormatting>
  <conditionalFormatting sqref="I15:I37">
    <cfRule type="expression" dxfId="440" priority="12">
      <formula>$C$9&gt;0</formula>
    </cfRule>
  </conditionalFormatting>
  <conditionalFormatting sqref="I23:I37">
    <cfRule type="expression" dxfId="439" priority="13">
      <formula>$C$9&lt;0</formula>
    </cfRule>
  </conditionalFormatting>
  <conditionalFormatting sqref="I39:I50 I53:I62 I15:I22">
    <cfRule type="expression" dxfId="438" priority="48">
      <formula>$C$9&lt;0</formula>
    </cfRule>
  </conditionalFormatting>
  <conditionalFormatting sqref="I39:I50 I53:I62">
    <cfRule type="expression" dxfId="437" priority="47">
      <formula>$C$9&gt;0</formula>
    </cfRule>
  </conditionalFormatting>
  <conditionalFormatting sqref="J38">
    <cfRule type="expression" dxfId="436" priority="43">
      <formula>$B$9="PLN"</formula>
    </cfRule>
    <cfRule type="expression" dxfId="435" priority="44">
      <formula>$B$9="CZK"</formula>
    </cfRule>
    <cfRule type="expression" dxfId="434" priority="45">
      <formula>$B$9="USD"</formula>
    </cfRule>
    <cfRule type="expression" dxfId="433" priority="46">
      <formula>$B$9="EURO"</formula>
    </cfRule>
  </conditionalFormatting>
  <conditionalFormatting sqref="J64:J70">
    <cfRule type="expression" dxfId="432" priority="49">
      <formula>#REF!="EURO"</formula>
    </cfRule>
  </conditionalFormatting>
  <conditionalFormatting sqref="K1:K37">
    <cfRule type="expression" dxfId="431" priority="5">
      <formula>$B$9="USD"</formula>
    </cfRule>
    <cfRule type="expression" dxfId="430" priority="4">
      <formula>$B$9="EURO"</formula>
    </cfRule>
    <cfRule type="expression" dxfId="429" priority="6">
      <formula>$B$9="PLN"</formula>
    </cfRule>
  </conditionalFormatting>
  <conditionalFormatting sqref="K1:K1048576">
    <cfRule type="expression" dxfId="428" priority="7">
      <formula>$B$9="CZK"</formula>
    </cfRule>
  </conditionalFormatting>
  <conditionalFormatting sqref="K15:K37">
    <cfRule type="cellIs" dxfId="427" priority="3" operator="greaterThan">
      <formula>0</formula>
    </cfRule>
  </conditionalFormatting>
  <conditionalFormatting sqref="K39:K50">
    <cfRule type="cellIs" dxfId="426" priority="20" operator="greaterThan">
      <formula>0</formula>
    </cfRule>
  </conditionalFormatting>
  <conditionalFormatting sqref="K39:K1048576">
    <cfRule type="expression" dxfId="425" priority="19">
      <formula>$B$9="PLN"</formula>
    </cfRule>
    <cfRule type="expression" dxfId="424" priority="18">
      <formula>$B$9="USD"</formula>
    </cfRule>
    <cfRule type="expression" dxfId="423" priority="17">
      <formula>$B$9="EURO"</formula>
    </cfRule>
  </conditionalFormatting>
  <conditionalFormatting sqref="K51">
    <cfRule type="cellIs" dxfId="422" priority="26" operator="greaterThan">
      <formula>0</formula>
    </cfRule>
  </conditionalFormatting>
  <conditionalFormatting sqref="K53:K62">
    <cfRule type="cellIs" dxfId="421" priority="16" operator="greaterThan">
      <formula>0</formula>
    </cfRule>
  </conditionalFormatting>
  <conditionalFormatting sqref="L23:L37">
    <cfRule type="cellIs" dxfId="420" priority="10" operator="greaterThan">
      <formula>0</formula>
    </cfRule>
  </conditionalFormatting>
  <conditionalFormatting sqref="L39:L50">
    <cfRule type="cellIs" dxfId="419" priority="22" operator="greaterThan">
      <formula>0</formula>
    </cfRule>
  </conditionalFormatting>
  <conditionalFormatting sqref="T41">
    <cfRule type="cellIs" dxfId="418" priority="21" operator="greaterThan">
      <formula>0</formula>
    </cfRule>
  </conditionalFormatting>
  <dataValidations count="3">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9A00-000000000000}">
      <formula1>#REF!</formula1>
    </dataValidation>
    <dataValidation type="list" allowBlank="1" showInputMessage="1" showErrorMessage="1" sqref="C13" xr:uid="{00000000-0002-0000-9A00-000001000000}">
      <formula1>"SELECT MODEL,INTERNAL,EXTERNAL"</formula1>
    </dataValidation>
    <dataValidation type="list" allowBlank="1" showInputMessage="1" showErrorMessage="1" sqref="C26" xr:uid="{00000000-0002-0000-9A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sheetPr>
    <tabColor theme="8" tint="0.79998168889431442"/>
    <pageSetUpPr fitToPage="1"/>
  </sheetPr>
  <dimension ref="A1:AD150"/>
  <sheetViews>
    <sheetView showGridLines="0" topLeftCell="A12"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IF('[16]CANOPY (2)'!C3="","",'[16]CANOPY (2)'!C3)</f>
        <v>#REF!</v>
      </c>
      <c r="E3" s="934"/>
      <c r="G3" s="71" t="s">
        <v>4</v>
      </c>
      <c r="H3" s="935" t="e">
        <f>IF('[16]CANOPY (2)'!G3="","",'[16]CANOPY (2)'!G3)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IF('[16]CANOPY (2)'!C5="","",'[16]CANOPY (2)'!C5)</f>
        <v>#REF!</v>
      </c>
      <c r="E5" s="934"/>
      <c r="G5" s="71" t="s">
        <v>8</v>
      </c>
      <c r="H5" s="935" t="e">
        <f>IF('[16]CANOPY (2)'!G5="","",'[16]CANOPY (2)'!G5)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IF('[16]CANOPY (2)'!C7="","",'[16]CANOPY (2)'!C7)</f>
        <v>#REF!</v>
      </c>
      <c r="E7" s="934"/>
      <c r="G7" s="71" t="s">
        <v>12</v>
      </c>
      <c r="H7" s="939" t="e">
        <f>IF('[16]CANOPY (2)'!G7="","",'[16]CANOPY (2)'!G7)</f>
        <v>#REF!</v>
      </c>
      <c r="I7" s="936"/>
      <c r="J7" s="937"/>
      <c r="N7" s="266" t="s">
        <v>14</v>
      </c>
      <c r="O7" s="787" t="e">
        <f>IF('[16]CANOPY (2)'!O7="","",'[16]CANOPY (2)'!O7)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417" priority="26">
      <formula>C9="CURRENCY"</formula>
    </cfRule>
    <cfRule type="containsText" dxfId="416" priority="25" operator="containsText" text="SELECT">
      <formula>NOT(ISERROR(SEARCH("SELECT",C9)))</formula>
    </cfRule>
  </conditionalFormatting>
  <conditionalFormatting sqref="C14:C23">
    <cfRule type="expression" dxfId="415" priority="1">
      <formula>$J14&gt;0</formula>
    </cfRule>
  </conditionalFormatting>
  <conditionalFormatting sqref="C27:C37">
    <cfRule type="expression" dxfId="414" priority="10">
      <formula>$D27&gt;0</formula>
    </cfRule>
  </conditionalFormatting>
  <conditionalFormatting sqref="D27:D28 D30:D37">
    <cfRule type="cellIs" dxfId="413" priority="27" operator="lessThan">
      <formula>1</formula>
    </cfRule>
  </conditionalFormatting>
  <conditionalFormatting sqref="D29">
    <cfRule type="cellIs" dxfId="412" priority="22" operator="lessThan">
      <formula>1</formula>
    </cfRule>
  </conditionalFormatting>
  <conditionalFormatting sqref="D9:E9">
    <cfRule type="cellIs" dxfId="411" priority="23" operator="lessThan">
      <formula>0</formula>
    </cfRule>
    <cfRule type="cellIs" dxfId="410" priority="24" operator="greaterThan">
      <formula>0</formula>
    </cfRule>
  </conditionalFormatting>
  <conditionalFormatting sqref="F12">
    <cfRule type="cellIs" dxfId="409" priority="37" operator="greaterThan">
      <formula>2000</formula>
    </cfRule>
    <cfRule type="expression" dxfId="408" priority="36">
      <formula>ISNUMBER(SEARCH("I-MUAP",#REF!))</formula>
    </cfRule>
    <cfRule type="expression" dxfId="407" priority="35">
      <formula>AND((ISNUMBER(SEARCH("I-MUAP",#REF!))),F12&lt;2500)</formula>
    </cfRule>
  </conditionalFormatting>
  <conditionalFormatting sqref="F12:G12">
    <cfRule type="cellIs" dxfId="406" priority="28" operator="lessThan">
      <formula>1000</formula>
    </cfRule>
  </conditionalFormatting>
  <conditionalFormatting sqref="F14:G19">
    <cfRule type="cellIs" dxfId="405" priority="3" operator="lessThan">
      <formula>1000</formula>
    </cfRule>
  </conditionalFormatting>
  <conditionalFormatting sqref="G12">
    <cfRule type="cellIs" dxfId="404" priority="29" operator="greaterThan">
      <formula>3001</formula>
    </cfRule>
  </conditionalFormatting>
  <conditionalFormatting sqref="H11">
    <cfRule type="expression" dxfId="403" priority="38">
      <formula>((#REF!-50)/#REF!)&lt;950</formula>
    </cfRule>
  </conditionalFormatting>
  <conditionalFormatting sqref="H12">
    <cfRule type="expression" dxfId="402" priority="39">
      <formula>((#REF!-50)/#REF!)&lt;950</formula>
    </cfRule>
  </conditionalFormatting>
  <conditionalFormatting sqref="H14:H19">
    <cfRule type="cellIs" dxfId="401" priority="4" operator="lessThan">
      <formula>400</formula>
    </cfRule>
  </conditionalFormatting>
  <conditionalFormatting sqref="H24">
    <cfRule type="expression" dxfId="400" priority="34">
      <formula>((#REF!-50)/#REF!)&lt;950</formula>
    </cfRule>
  </conditionalFormatting>
  <conditionalFormatting sqref="J14:J21">
    <cfRule type="cellIs" dxfId="399" priority="15" operator="greaterThan">
      <formula>0</formula>
    </cfRule>
  </conditionalFormatting>
  <conditionalFormatting sqref="J27:J37">
    <cfRule type="expression" dxfId="398" priority="16">
      <formula>D27&gt;0</formula>
    </cfRule>
  </conditionalFormatting>
  <conditionalFormatting sqref="J39:J45">
    <cfRule type="expression" dxfId="397" priority="44">
      <formula>#REF!="EURO"</formula>
    </cfRule>
  </conditionalFormatting>
  <conditionalFormatting sqref="K14:K23 N14:O23">
    <cfRule type="cellIs" dxfId="396" priority="2" operator="greaterThan">
      <formula>0</formula>
    </cfRule>
  </conditionalFormatting>
  <conditionalFormatting sqref="K27:K37">
    <cfRule type="cellIs" dxfId="395" priority="21" operator="greaterThan">
      <formula>0</formula>
    </cfRule>
  </conditionalFormatting>
  <conditionalFormatting sqref="K39:K45">
    <cfRule type="expression" dxfId="394" priority="40">
      <formula>$C$9="PLN"</formula>
    </cfRule>
    <cfRule type="expression" dxfId="393" priority="41">
      <formula>$C$9="CZK"</formula>
    </cfRule>
    <cfRule type="expression" dxfId="392" priority="42">
      <formula>$C$9="USD"</formula>
    </cfRule>
    <cfRule type="expression" dxfId="391" priority="43">
      <formula>$C$9="EURO"</formula>
    </cfRule>
  </conditionalFormatting>
  <conditionalFormatting sqref="L14:L23">
    <cfRule type="expression" dxfId="390" priority="14">
      <formula>$D$9&gt;0</formula>
    </cfRule>
    <cfRule type="expression" dxfId="389" priority="13">
      <formula>$D$9&lt;0</formula>
    </cfRule>
  </conditionalFormatting>
  <conditionalFormatting sqref="L27:L37">
    <cfRule type="expression" dxfId="388" priority="12">
      <formula>$D$9&gt;0</formula>
    </cfRule>
    <cfRule type="expression" dxfId="387" priority="11">
      <formula>$D$9&lt;0</formula>
    </cfRule>
  </conditionalFormatting>
  <conditionalFormatting sqref="N9 N12">
    <cfRule type="expression" dxfId="386" priority="30">
      <formula>$C$9="PLN"</formula>
    </cfRule>
    <cfRule type="expression" dxfId="385" priority="31">
      <formula>$C$9="CZK"</formula>
    </cfRule>
    <cfRule type="expression" dxfId="384" priority="32">
      <formula>$C$9="USD"</formula>
    </cfRule>
    <cfRule type="expression" dxfId="383" priority="33">
      <formula>$C$9="EURO"</formula>
    </cfRule>
  </conditionalFormatting>
  <conditionalFormatting sqref="N14:N23">
    <cfRule type="expression" dxfId="382" priority="20">
      <formula>$C$9="EURO"</formula>
    </cfRule>
    <cfRule type="expression" dxfId="381" priority="19">
      <formula>$C$9="USD"</formula>
    </cfRule>
    <cfRule type="expression" dxfId="380" priority="18">
      <formula>$C$9="CZK"</formula>
    </cfRule>
    <cfRule type="expression" dxfId="379" priority="17">
      <formula>$C$9="PLN"</formula>
    </cfRule>
  </conditionalFormatting>
  <conditionalFormatting sqref="N26:N37">
    <cfRule type="expression" dxfId="378" priority="6">
      <formula>$C$9="PLN"</formula>
    </cfRule>
    <cfRule type="expression" dxfId="377" priority="7">
      <formula>$C$9="CZK"</formula>
    </cfRule>
    <cfRule type="expression" dxfId="376" priority="9">
      <formula>$C$9="EURO"</formula>
    </cfRule>
    <cfRule type="expression" dxfId="375" priority="8">
      <formula>$C$9="USD"</formula>
    </cfRule>
  </conditionalFormatting>
  <conditionalFormatting sqref="N27:O37">
    <cfRule type="cellIs" dxfId="374" priority="5" operator="greaterThan">
      <formula>0</formula>
    </cfRule>
  </conditionalFormatting>
  <dataValidations disablePrompts="1" count="3">
    <dataValidation type="list" allowBlank="1" showInputMessage="1" showErrorMessage="1" sqref="H25" xr:uid="{00000000-0002-0000-9B00-000000000000}">
      <formula1>#REF!</formula1>
    </dataValidation>
    <dataValidation type="list" allowBlank="1" showInputMessage="1" showErrorMessage="1" sqref="E14:E23" xr:uid="{00000000-0002-0000-9B00-000001000000}">
      <formula1>"0,1,2,3,4,5,6,7,8,9,10,11,12,13,14,15,16,17,18,19,20"</formula1>
    </dataValidation>
    <dataValidation operator="greaterThan" allowBlank="1" showInputMessage="1" showErrorMessage="1" sqref="F14:F19" xr:uid="{00000000-0002-0000-9B00-000002000000}"/>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IF('[16]CANOPY (2)'!C3="","",'[16]CANOPY (2)'!C3)</f>
        <v>#REF!</v>
      </c>
      <c r="E3" s="934"/>
      <c r="G3" s="71" t="s">
        <v>4</v>
      </c>
      <c r="H3" s="935" t="e">
        <f>IF('[16]CANOPY (2)'!G3="","",'[16]CANOPY (2)'!G3)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IF('[16]CANOPY (2)'!C5="","",'[16]CANOPY (2)'!C5)</f>
        <v>#REF!</v>
      </c>
      <c r="E5" s="934"/>
      <c r="G5" s="71" t="s">
        <v>8</v>
      </c>
      <c r="H5" s="935" t="e">
        <f>IF('[16]CANOPY (2)'!G5="","",'[16]CANOPY (2)'!G5)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IF('[16]CANOPY (2)'!C7="","",'[16]CANOPY (2)'!C7)</f>
        <v>#REF!</v>
      </c>
      <c r="E7" s="934"/>
      <c r="G7" s="71" t="s">
        <v>12</v>
      </c>
      <c r="H7" s="939" t="e">
        <f>IF('[16]CANOPY (2)'!G7="","",'[16]CANOPY (2)'!G7)</f>
        <v>#REF!</v>
      </c>
      <c r="I7" s="936"/>
      <c r="J7" s="937"/>
      <c r="N7" s="266" t="s">
        <v>14</v>
      </c>
      <c r="O7" s="787" t="e">
        <f>IF('[16]CANOPY (2)'!O7="","",'[16]CANOPY (2)'!O7)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373" priority="34">
      <formula>C9="CURRENCY"</formula>
    </cfRule>
    <cfRule type="containsText" dxfId="372" priority="33" operator="containsText" text="SELECT">
      <formula>NOT(ISERROR(SEARCH("SELECT",C9)))</formula>
    </cfRule>
  </conditionalFormatting>
  <conditionalFormatting sqref="C14:C32">
    <cfRule type="expression" dxfId="371" priority="10">
      <formula>$J14&gt;0</formula>
    </cfRule>
  </conditionalFormatting>
  <conditionalFormatting sqref="C36:C46">
    <cfRule type="expression" dxfId="370" priority="9">
      <formula>$D36&gt;0</formula>
    </cfRule>
  </conditionalFormatting>
  <conditionalFormatting sqref="D36:D37 D39:D46">
    <cfRule type="cellIs" dxfId="369" priority="35" operator="lessThan">
      <formula>1</formula>
    </cfRule>
  </conditionalFormatting>
  <conditionalFormatting sqref="D38">
    <cfRule type="cellIs" dxfId="368" priority="30" operator="lessThan">
      <formula>1</formula>
    </cfRule>
  </conditionalFormatting>
  <conditionalFormatting sqref="D9:E9">
    <cfRule type="cellIs" dxfId="367" priority="32" operator="greaterThan">
      <formula>0</formula>
    </cfRule>
    <cfRule type="cellIs" dxfId="366" priority="31" operator="lessThan">
      <formula>0</formula>
    </cfRule>
  </conditionalFormatting>
  <conditionalFormatting sqref="F12">
    <cfRule type="cellIs" dxfId="365" priority="42" operator="greaterThan">
      <formula>2000</formula>
    </cfRule>
    <cfRule type="expression" dxfId="364" priority="41">
      <formula>ISNUMBER(SEARCH("I-MUAP",$E$14))</formula>
    </cfRule>
    <cfRule type="expression" dxfId="363" priority="40">
      <formula>AND((ISNUMBER(SEARCH("I-MUAP",$E$14))),F12&lt;2500)</formula>
    </cfRule>
  </conditionalFormatting>
  <conditionalFormatting sqref="F12:G12">
    <cfRule type="cellIs" dxfId="362" priority="36" operator="lessThan">
      <formula>1000</formula>
    </cfRule>
  </conditionalFormatting>
  <conditionalFormatting sqref="F14:G26">
    <cfRule type="cellIs" dxfId="361" priority="2" operator="lessThan">
      <formula>1000</formula>
    </cfRule>
  </conditionalFormatting>
  <conditionalFormatting sqref="G12">
    <cfRule type="cellIs" dxfId="360" priority="37" operator="greaterThan">
      <formula>3001</formula>
    </cfRule>
  </conditionalFormatting>
  <conditionalFormatting sqref="H11">
    <cfRule type="expression" dxfId="359" priority="39">
      <formula>((G14-50)/I14)&lt;950</formula>
    </cfRule>
  </conditionalFormatting>
  <conditionalFormatting sqref="H12">
    <cfRule type="expression" dxfId="358" priority="38">
      <formula>((G14-50)/I14)&lt;950</formula>
    </cfRule>
  </conditionalFormatting>
  <conditionalFormatting sqref="H14:H26">
    <cfRule type="cellIs" dxfId="357" priority="3" operator="lessThan">
      <formula>400</formula>
    </cfRule>
  </conditionalFormatting>
  <conditionalFormatting sqref="H33">
    <cfRule type="expression" dxfId="356" priority="47">
      <formula>((#REF!-50)/#REF!)&lt;950</formula>
    </cfRule>
  </conditionalFormatting>
  <conditionalFormatting sqref="J14:J30">
    <cfRule type="cellIs" dxfId="355" priority="15" operator="greaterThan">
      <formula>0</formula>
    </cfRule>
  </conditionalFormatting>
  <conditionalFormatting sqref="J36:J46">
    <cfRule type="expression" dxfId="354" priority="23">
      <formula>D36&gt;0</formula>
    </cfRule>
  </conditionalFormatting>
  <conditionalFormatting sqref="J48:J54">
    <cfRule type="expression" dxfId="353" priority="28">
      <formula>#REF!="EURO"</formula>
    </cfRule>
  </conditionalFormatting>
  <conditionalFormatting sqref="K14:K32">
    <cfRule type="cellIs" dxfId="352" priority="1" operator="greaterThan">
      <formula>0</formula>
    </cfRule>
  </conditionalFormatting>
  <conditionalFormatting sqref="K36:K46">
    <cfRule type="cellIs" dxfId="351" priority="29" operator="greaterThan">
      <formula>0</formula>
    </cfRule>
  </conditionalFormatting>
  <conditionalFormatting sqref="K48:K54">
    <cfRule type="expression" dxfId="350" priority="24">
      <formula>$C$9="PLN"</formula>
    </cfRule>
    <cfRule type="expression" dxfId="349" priority="25">
      <formula>$C$9="CZK"</formula>
    </cfRule>
    <cfRule type="expression" dxfId="348" priority="26">
      <formula>$C$9="USD"</formula>
    </cfRule>
    <cfRule type="expression" dxfId="347" priority="27">
      <formula>$C$9="EURO"</formula>
    </cfRule>
  </conditionalFormatting>
  <conditionalFormatting sqref="L14:L32">
    <cfRule type="expression" dxfId="346" priority="13">
      <formula>$D$9&lt;0</formula>
    </cfRule>
    <cfRule type="expression" dxfId="345" priority="14">
      <formula>$D$9&gt;0</formula>
    </cfRule>
  </conditionalFormatting>
  <conditionalFormatting sqref="L36:L46">
    <cfRule type="expression" dxfId="344" priority="12">
      <formula>$D$9&gt;0</formula>
    </cfRule>
    <cfRule type="expression" dxfId="343" priority="11">
      <formula>$D$9&lt;0</formula>
    </cfRule>
  </conditionalFormatting>
  <conditionalFormatting sqref="N9 N12">
    <cfRule type="expression" dxfId="342" priority="43">
      <formula>$C$9="PLN"</formula>
    </cfRule>
    <cfRule type="expression" dxfId="341" priority="44">
      <formula>$C$9="CZK"</formula>
    </cfRule>
    <cfRule type="expression" dxfId="340" priority="45">
      <formula>$C$9="USD"</formula>
    </cfRule>
    <cfRule type="expression" dxfId="339" priority="46">
      <formula>$C$9="EURO"</formula>
    </cfRule>
  </conditionalFormatting>
  <conditionalFormatting sqref="N14:N32">
    <cfRule type="expression" dxfId="338" priority="20">
      <formula>$C$9="EURO"</formula>
    </cfRule>
    <cfRule type="expression" dxfId="337" priority="19">
      <formula>$C$9="USD"</formula>
    </cfRule>
    <cfRule type="expression" dxfId="336" priority="18">
      <formula>$C$9="CZK"</formula>
    </cfRule>
    <cfRule type="expression" dxfId="335" priority="17">
      <formula>$C$9="PLN"</formula>
    </cfRule>
  </conditionalFormatting>
  <conditionalFormatting sqref="N18:N20">
    <cfRule type="cellIs" dxfId="334" priority="21" operator="greaterThan">
      <formula>0</formula>
    </cfRule>
  </conditionalFormatting>
  <conditionalFormatting sqref="N35:N46">
    <cfRule type="expression" dxfId="333" priority="8">
      <formula>$C$9="EURO"</formula>
    </cfRule>
    <cfRule type="expression" dxfId="332" priority="7">
      <formula>$C$9="USD"</formula>
    </cfRule>
    <cfRule type="expression" dxfId="331" priority="6">
      <formula>$C$9="CZK"</formula>
    </cfRule>
    <cfRule type="expression" dxfId="330" priority="5">
      <formula>$C$9="PLN"</formula>
    </cfRule>
  </conditionalFormatting>
  <conditionalFormatting sqref="N14:O32">
    <cfRule type="cellIs" dxfId="329" priority="16" operator="greaterThan">
      <formula>0</formula>
    </cfRule>
  </conditionalFormatting>
  <conditionalFormatting sqref="N36:O46">
    <cfRule type="cellIs" dxfId="328" priority="4" operator="greaterThan">
      <formula>0</formula>
    </cfRule>
  </conditionalFormatting>
  <conditionalFormatting sqref="O14:O20">
    <cfRule type="cellIs" dxfId="327" priority="22" operator="greaterThan">
      <formula>0</formula>
    </cfRule>
  </conditionalFormatting>
  <dataValidations count="3">
    <dataValidation type="list" allowBlank="1" showInputMessage="1" showErrorMessage="1" sqref="E14:E32" xr:uid="{00000000-0002-0000-9C00-000000000000}">
      <formula1>"0,1,2,3,4,5,6,7,8,9,10,11,12,13,14,15,16,17,18,19,20"</formula1>
    </dataValidation>
    <dataValidation operator="greaterThan" allowBlank="1" showInputMessage="1" showErrorMessage="1" sqref="F14:F26" xr:uid="{00000000-0002-0000-9C00-000001000000}"/>
    <dataValidation type="list" allowBlank="1" showInputMessage="1" showErrorMessage="1" sqref="H34" xr:uid="{00000000-0002-0000-9C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513" customWidth="1"/>
    <col min="3" max="3" width="61.33203125" style="513" bestFit="1" customWidth="1"/>
    <col min="4" max="4" width="12.33203125" style="513" bestFit="1" customWidth="1"/>
  </cols>
  <sheetData>
    <row r="2" spans="1:6" s="507" customFormat="1" x14ac:dyDescent="0.15">
      <c r="A2" s="1001" t="s">
        <v>714</v>
      </c>
      <c r="B2" s="506" t="s">
        <v>715</v>
      </c>
      <c r="C2" s="506" t="s">
        <v>716</v>
      </c>
      <c r="D2" s="506" t="s">
        <v>717</v>
      </c>
      <c r="F2" s="507">
        <v>20</v>
      </c>
    </row>
    <row r="3" spans="1:6" ht="13.25" customHeight="1" x14ac:dyDescent="0.15">
      <c r="A3" s="1002"/>
      <c r="B3" s="508">
        <v>1.01</v>
      </c>
      <c r="C3" s="508" t="s">
        <v>718</v>
      </c>
      <c r="D3" s="509" t="e">
        <f>[17]CANOPY!N12</f>
        <v>#REF!</v>
      </c>
    </row>
    <row r="4" spans="1:6" x14ac:dyDescent="0.15">
      <c r="A4" s="1002"/>
      <c r="B4" s="508">
        <v>1.02</v>
      </c>
      <c r="C4" s="508" t="s">
        <v>718</v>
      </c>
      <c r="D4" s="509"/>
    </row>
    <row r="5" spans="1:6" x14ac:dyDescent="0.15">
      <c r="A5" s="1002"/>
      <c r="B5" s="508">
        <v>1.03</v>
      </c>
      <c r="C5" s="508" t="s">
        <v>718</v>
      </c>
      <c r="D5" s="509"/>
    </row>
    <row r="6" spans="1:6" x14ac:dyDescent="0.15">
      <c r="A6" s="1002"/>
      <c r="B6" s="508">
        <v>1.04</v>
      </c>
      <c r="C6" s="508" t="s">
        <v>719</v>
      </c>
      <c r="D6" s="509"/>
    </row>
    <row r="7" spans="1:6" x14ac:dyDescent="0.15">
      <c r="A7" s="1002"/>
      <c r="B7" s="508">
        <v>1.05</v>
      </c>
      <c r="C7" s="508" t="s">
        <v>720</v>
      </c>
      <c r="D7" s="509"/>
    </row>
    <row r="8" spans="1:6" x14ac:dyDescent="0.15">
      <c r="A8" s="1002"/>
      <c r="B8" s="508">
        <v>1.06</v>
      </c>
      <c r="C8" s="508" t="s">
        <v>721</v>
      </c>
      <c r="D8" s="509"/>
    </row>
    <row r="9" spans="1:6" x14ac:dyDescent="0.15">
      <c r="A9" s="1003"/>
      <c r="B9" s="510"/>
      <c r="C9" s="511" t="s">
        <v>722</v>
      </c>
      <c r="D9" s="509" t="e">
        <f>SUM(D3:D8)</f>
        <v>#REF!</v>
      </c>
    </row>
    <row r="10" spans="1:6" x14ac:dyDescent="0.15">
      <c r="A10" s="512"/>
      <c r="C10" s="514"/>
      <c r="D10" s="515"/>
    </row>
    <row r="11" spans="1:6" s="507" customFormat="1" x14ac:dyDescent="0.15">
      <c r="A11" s="1001" t="s">
        <v>723</v>
      </c>
      <c r="B11" s="506" t="s">
        <v>715</v>
      </c>
      <c r="C11" s="506" t="s">
        <v>716</v>
      </c>
      <c r="D11" s="506" t="s">
        <v>717</v>
      </c>
      <c r="F11" s="507">
        <v>5</v>
      </c>
    </row>
    <row r="12" spans="1:6" ht="13.25" customHeight="1" x14ac:dyDescent="0.15">
      <c r="A12" s="1002"/>
      <c r="B12" s="508">
        <v>2.0099999999999998</v>
      </c>
      <c r="C12" s="508" t="s">
        <v>724</v>
      </c>
      <c r="D12" s="509"/>
    </row>
    <row r="13" spans="1:6" x14ac:dyDescent="0.15">
      <c r="A13" s="1002"/>
      <c r="B13" s="508">
        <v>2.02</v>
      </c>
      <c r="C13" s="508"/>
      <c r="D13" s="509"/>
    </row>
    <row r="14" spans="1:6" x14ac:dyDescent="0.15">
      <c r="A14" s="1002"/>
      <c r="B14" s="508">
        <v>2.0299999999999998</v>
      </c>
      <c r="C14" s="508"/>
      <c r="D14" s="509"/>
    </row>
    <row r="15" spans="1:6" x14ac:dyDescent="0.15">
      <c r="A15" s="1003"/>
      <c r="B15" s="510"/>
      <c r="C15" s="511" t="s">
        <v>722</v>
      </c>
      <c r="D15" s="509">
        <f>SUM(D12:D14)</f>
        <v>0</v>
      </c>
    </row>
    <row r="16" spans="1:6" x14ac:dyDescent="0.15">
      <c r="A16" s="512"/>
      <c r="C16" s="514"/>
      <c r="D16" s="515"/>
    </row>
    <row r="17" spans="1:6" s="507" customFormat="1" x14ac:dyDescent="0.15">
      <c r="A17" s="1001" t="s">
        <v>725</v>
      </c>
      <c r="B17" s="506" t="s">
        <v>715</v>
      </c>
      <c r="C17" s="506" t="s">
        <v>716</v>
      </c>
      <c r="D17" s="506" t="s">
        <v>717</v>
      </c>
      <c r="F17" s="507">
        <v>5</v>
      </c>
    </row>
    <row r="18" spans="1:6" ht="13.25" customHeight="1" x14ac:dyDescent="0.15">
      <c r="A18" s="1002"/>
      <c r="B18" s="508">
        <v>3.01</v>
      </c>
      <c r="C18" s="508" t="s">
        <v>726</v>
      </c>
      <c r="D18" s="509"/>
    </row>
    <row r="19" spans="1:6" x14ac:dyDescent="0.15">
      <c r="A19" s="1002"/>
      <c r="B19" s="508">
        <v>3.02</v>
      </c>
      <c r="C19" s="508" t="s">
        <v>726</v>
      </c>
      <c r="D19" s="509"/>
    </row>
    <row r="20" spans="1:6" x14ac:dyDescent="0.15">
      <c r="A20" s="1002"/>
      <c r="B20" s="508">
        <v>3.03</v>
      </c>
      <c r="C20" s="508" t="s">
        <v>726</v>
      </c>
      <c r="D20" s="509"/>
    </row>
    <row r="21" spans="1:6" x14ac:dyDescent="0.15">
      <c r="A21" s="1002"/>
      <c r="B21" s="508">
        <v>3.04</v>
      </c>
      <c r="C21" s="508" t="s">
        <v>727</v>
      </c>
      <c r="D21" s="509"/>
    </row>
    <row r="22" spans="1:6" x14ac:dyDescent="0.15">
      <c r="A22" s="1003"/>
      <c r="B22" s="510"/>
      <c r="C22" s="511" t="s">
        <v>722</v>
      </c>
      <c r="D22" s="509">
        <f>SUM(D18:D21)</f>
        <v>0</v>
      </c>
    </row>
    <row r="23" spans="1:6" x14ac:dyDescent="0.15">
      <c r="A23" s="512"/>
      <c r="C23" s="514"/>
      <c r="D23" s="515"/>
    </row>
    <row r="24" spans="1:6" s="507" customFormat="1" x14ac:dyDescent="0.15">
      <c r="A24" s="1001" t="s">
        <v>728</v>
      </c>
      <c r="B24" s="506" t="s">
        <v>715</v>
      </c>
      <c r="C24" s="506" t="s">
        <v>716</v>
      </c>
      <c r="D24" s="506" t="s">
        <v>717</v>
      </c>
      <c r="F24" s="507">
        <v>5</v>
      </c>
    </row>
    <row r="25" spans="1:6" ht="13.25" customHeight="1" x14ac:dyDescent="0.15">
      <c r="A25" s="1002"/>
      <c r="B25" s="508">
        <v>4.01</v>
      </c>
      <c r="C25" s="508" t="s">
        <v>729</v>
      </c>
      <c r="D25" s="509"/>
    </row>
    <row r="26" spans="1:6" x14ac:dyDescent="0.15">
      <c r="A26" s="1002"/>
      <c r="B26" s="508">
        <v>4.0199999999999996</v>
      </c>
      <c r="C26" s="508" t="s">
        <v>729</v>
      </c>
      <c r="D26" s="509"/>
    </row>
    <row r="27" spans="1:6" x14ac:dyDescent="0.15">
      <c r="A27" s="1002"/>
      <c r="B27" s="508">
        <v>4.03</v>
      </c>
      <c r="C27" s="508" t="s">
        <v>730</v>
      </c>
      <c r="D27" s="509"/>
    </row>
    <row r="28" spans="1:6" x14ac:dyDescent="0.15">
      <c r="A28" s="1002"/>
      <c r="B28" s="508">
        <v>4.04</v>
      </c>
      <c r="C28" s="508" t="s">
        <v>731</v>
      </c>
      <c r="D28" s="509"/>
    </row>
    <row r="29" spans="1:6" x14ac:dyDescent="0.15">
      <c r="A29" s="1003"/>
      <c r="B29" s="510"/>
      <c r="C29" s="511" t="s">
        <v>722</v>
      </c>
      <c r="D29" s="509">
        <f>SUM(D25:D28)</f>
        <v>0</v>
      </c>
    </row>
    <row r="30" spans="1:6" x14ac:dyDescent="0.15">
      <c r="A30" s="512"/>
      <c r="C30" s="514"/>
      <c r="D30" s="515"/>
    </row>
    <row r="31" spans="1:6" s="507" customFormat="1" x14ac:dyDescent="0.15">
      <c r="A31" s="1001" t="s">
        <v>732</v>
      </c>
      <c r="B31" s="506" t="s">
        <v>715</v>
      </c>
      <c r="C31" s="506" t="s">
        <v>716</v>
      </c>
      <c r="D31" s="506" t="s">
        <v>717</v>
      </c>
    </row>
    <row r="32" spans="1:6" ht="13.25" customHeight="1" x14ac:dyDescent="0.15">
      <c r="A32" s="1002"/>
      <c r="B32" s="508">
        <v>5.01</v>
      </c>
      <c r="C32" s="508" t="s">
        <v>733</v>
      </c>
      <c r="D32" s="509"/>
    </row>
    <row r="33" spans="1:4" x14ac:dyDescent="0.15">
      <c r="A33" s="1002"/>
      <c r="B33" s="508">
        <v>5.0199999999999996</v>
      </c>
      <c r="C33" s="508" t="s">
        <v>734</v>
      </c>
      <c r="D33" s="509"/>
    </row>
    <row r="34" spans="1:4" x14ac:dyDescent="0.15">
      <c r="A34" s="1002"/>
      <c r="B34" s="508">
        <v>5.03</v>
      </c>
      <c r="C34" s="508" t="s">
        <v>735</v>
      </c>
      <c r="D34" s="509"/>
    </row>
    <row r="35" spans="1:4" x14ac:dyDescent="0.15">
      <c r="A35" s="1003"/>
      <c r="B35" s="510"/>
      <c r="C35" s="511" t="s">
        <v>722</v>
      </c>
      <c r="D35" s="509">
        <f>SUM(D32:D34)</f>
        <v>0</v>
      </c>
    </row>
    <row r="36" spans="1:4" x14ac:dyDescent="0.15">
      <c r="A36" s="512"/>
      <c r="C36" s="514"/>
      <c r="D36" s="515"/>
    </row>
    <row r="37" spans="1:4" s="507" customFormat="1" x14ac:dyDescent="0.15">
      <c r="A37" s="1001" t="s">
        <v>736</v>
      </c>
      <c r="B37" s="506" t="s">
        <v>715</v>
      </c>
      <c r="C37" s="506" t="s">
        <v>716</v>
      </c>
      <c r="D37" s="506" t="s">
        <v>717</v>
      </c>
    </row>
    <row r="38" spans="1:4" ht="13.25" customHeight="1" x14ac:dyDescent="0.15">
      <c r="A38" s="1002"/>
      <c r="B38" s="508">
        <v>6.01</v>
      </c>
      <c r="C38" s="508" t="s">
        <v>737</v>
      </c>
      <c r="D38" s="509"/>
    </row>
    <row r="39" spans="1:4" x14ac:dyDescent="0.15">
      <c r="A39" s="1002"/>
      <c r="B39" s="508">
        <v>6.02</v>
      </c>
      <c r="C39" s="508" t="s">
        <v>734</v>
      </c>
      <c r="D39" s="509"/>
    </row>
    <row r="40" spans="1:4" x14ac:dyDescent="0.15">
      <c r="A40" s="1002"/>
      <c r="B40" s="508">
        <v>6.03</v>
      </c>
      <c r="C40" s="508" t="s">
        <v>721</v>
      </c>
      <c r="D40" s="509"/>
    </row>
    <row r="41" spans="1:4" x14ac:dyDescent="0.15">
      <c r="A41" s="1003"/>
      <c r="B41" s="510"/>
      <c r="C41" s="511" t="s">
        <v>722</v>
      </c>
      <c r="D41" s="509">
        <f>SUM(D38:D40)</f>
        <v>0</v>
      </c>
    </row>
    <row r="42" spans="1:4" x14ac:dyDescent="0.15">
      <c r="D42" s="515"/>
    </row>
    <row r="43" spans="1:4" ht="14" customHeight="1" x14ac:dyDescent="0.15">
      <c r="A43" s="516"/>
      <c r="B43" s="999" t="s">
        <v>738</v>
      </c>
      <c r="C43" s="1000"/>
      <c r="D43" s="517" t="e">
        <f>SUM(D41+D35+D29+D22+D15+D9)</f>
        <v>#REF!</v>
      </c>
    </row>
  </sheetData>
  <mergeCells count="7">
    <mergeCell ref="B43:C43"/>
    <mergeCell ref="A17:A22"/>
    <mergeCell ref="A2:A9"/>
    <mergeCell ref="A24:A29"/>
    <mergeCell ref="A11:A15"/>
    <mergeCell ref="A37:A41"/>
    <mergeCell ref="A31:A35"/>
  </mergeCells>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sheetPr>
    <tabColor theme="0" tint="-0.249977111117893"/>
  </sheetPr>
  <dimension ref="B1:V48"/>
  <sheetViews>
    <sheetView zoomScale="90" zoomScaleNormal="90" workbookViewId="0">
      <selection activeCell="G187" sqref="G187"/>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415" customWidth="1"/>
    <col min="18" max="18" width="13.1640625" customWidth="1"/>
    <col min="20" max="20" width="9.16406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IF([17]CANOPY!G3="","",[17]CANOPY!G3)</f>
        <v>#REF!</v>
      </c>
      <c r="I2" s="975"/>
      <c r="J2" s="975"/>
      <c r="K2" s="975"/>
      <c r="L2" s="976"/>
      <c r="M2" s="483" t="s">
        <v>368</v>
      </c>
      <c r="N2" s="974" t="e">
        <f>IF([17]CANOPY!C3="","",[17]CANOPY!C3)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376</v>
      </c>
      <c r="D6" s="422"/>
      <c r="E6" s="423" t="s">
        <v>377</v>
      </c>
      <c r="F6" s="422"/>
      <c r="G6" s="424" t="s">
        <v>378</v>
      </c>
      <c r="H6" s="422"/>
      <c r="I6" s="423" t="s">
        <v>379</v>
      </c>
      <c r="J6" s="422"/>
      <c r="K6" s="424" t="s">
        <v>380</v>
      </c>
      <c r="L6" s="422"/>
      <c r="M6" s="423" t="s">
        <v>381</v>
      </c>
      <c r="N6" s="422"/>
      <c r="O6" s="425"/>
      <c r="P6" s="422"/>
      <c r="Q6" s="426"/>
      <c r="R6" s="427"/>
    </row>
    <row r="7" spans="2:22" ht="15" customHeight="1" x14ac:dyDescent="0.2">
      <c r="B7" s="428" t="s">
        <v>382</v>
      </c>
      <c r="C7" s="726">
        <v>2.12</v>
      </c>
      <c r="D7" s="727"/>
      <c r="E7" s="728">
        <v>2.35</v>
      </c>
      <c r="F7" s="729"/>
      <c r="G7" s="730">
        <v>2.35</v>
      </c>
      <c r="H7" s="727"/>
      <c r="I7" s="731">
        <v>2.78</v>
      </c>
      <c r="J7" s="729"/>
      <c r="K7" s="730">
        <v>3.99</v>
      </c>
      <c r="L7" s="727"/>
      <c r="M7" s="731">
        <v>6.08</v>
      </c>
      <c r="N7" s="432"/>
      <c r="O7" s="435"/>
      <c r="P7" s="525"/>
      <c r="Q7" s="419"/>
      <c r="R7" s="436">
        <f t="shared" ref="R7:R22" si="0">SUM(C7*D7+E7*F7+G7*H7+I7*J7+K7*L7+M7*+N7+O7*P7)</f>
        <v>0</v>
      </c>
    </row>
    <row r="8" spans="2:22" ht="15" customHeight="1" x14ac:dyDescent="0.2">
      <c r="B8" s="437" t="s">
        <v>383</v>
      </c>
      <c r="C8" s="732">
        <v>21.79</v>
      </c>
      <c r="D8" s="704"/>
      <c r="E8" s="524">
        <v>27.25</v>
      </c>
      <c r="F8" s="733"/>
      <c r="G8" s="523">
        <v>34.299999999999997</v>
      </c>
      <c r="H8" s="704"/>
      <c r="I8" s="734">
        <v>51.18</v>
      </c>
      <c r="J8" s="733"/>
      <c r="K8" s="523">
        <v>63.69</v>
      </c>
      <c r="L8" s="704"/>
      <c r="M8" s="734">
        <v>80.05</v>
      </c>
      <c r="N8" s="441"/>
      <c r="O8" s="444"/>
      <c r="P8" s="449"/>
      <c r="Q8" s="445"/>
      <c r="R8" s="446">
        <f t="shared" si="0"/>
        <v>0</v>
      </c>
    </row>
    <row r="9" spans="2:22" ht="15" customHeight="1" x14ac:dyDescent="0.2">
      <c r="B9" s="437" t="s">
        <v>384</v>
      </c>
      <c r="C9" s="732">
        <v>8.51</v>
      </c>
      <c r="D9" s="704"/>
      <c r="E9" s="524">
        <v>10.050000000000001</v>
      </c>
      <c r="F9" s="733"/>
      <c r="G9" s="523">
        <v>14.75</v>
      </c>
      <c r="H9" s="704"/>
      <c r="I9" s="734">
        <v>20.63</v>
      </c>
      <c r="J9" s="733"/>
      <c r="K9" s="523">
        <v>30.79</v>
      </c>
      <c r="L9" s="704"/>
      <c r="M9" s="734">
        <v>33.47</v>
      </c>
      <c r="N9" s="441"/>
      <c r="O9" s="444"/>
      <c r="P9" s="449"/>
      <c r="Q9" s="445"/>
      <c r="R9" s="446">
        <f t="shared" si="0"/>
        <v>0</v>
      </c>
    </row>
    <row r="10" spans="2:22" ht="15" customHeight="1" x14ac:dyDescent="0.2">
      <c r="B10" s="437" t="s">
        <v>385</v>
      </c>
      <c r="C10" s="732">
        <v>6.4</v>
      </c>
      <c r="D10" s="704"/>
      <c r="E10" s="524">
        <v>7.48</v>
      </c>
      <c r="F10" s="733"/>
      <c r="G10" s="523">
        <v>10.79</v>
      </c>
      <c r="H10" s="704"/>
      <c r="I10" s="734">
        <v>14.74</v>
      </c>
      <c r="J10" s="733"/>
      <c r="K10" s="523">
        <v>22.09</v>
      </c>
      <c r="L10" s="704"/>
      <c r="M10" s="734">
        <v>25.74</v>
      </c>
      <c r="N10" s="441"/>
      <c r="O10" s="444"/>
      <c r="P10" s="449"/>
      <c r="Q10" s="445"/>
      <c r="R10" s="446">
        <f t="shared" si="0"/>
        <v>0</v>
      </c>
    </row>
    <row r="11" spans="2:22" ht="15" customHeight="1" x14ac:dyDescent="0.2">
      <c r="B11" s="437" t="s">
        <v>386</v>
      </c>
      <c r="C11" s="438">
        <v>15.52</v>
      </c>
      <c r="D11" s="439"/>
      <c r="E11" s="440">
        <v>17.190000000000001</v>
      </c>
      <c r="F11" s="441"/>
      <c r="G11" s="442">
        <v>21.51</v>
      </c>
      <c r="H11" s="439"/>
      <c r="I11" s="443">
        <v>28.04</v>
      </c>
      <c r="J11" s="441"/>
      <c r="K11" s="442">
        <v>35.380000000000003</v>
      </c>
      <c r="L11" s="439"/>
      <c r="M11" s="443">
        <v>47.48</v>
      </c>
      <c r="N11" s="441"/>
      <c r="O11" s="444"/>
      <c r="P11" s="449"/>
      <c r="Q11" s="445"/>
      <c r="R11" s="446">
        <f t="shared" si="0"/>
        <v>0</v>
      </c>
    </row>
    <row r="12" spans="2:22" ht="15" customHeight="1" x14ac:dyDescent="0.2">
      <c r="B12" s="437" t="s">
        <v>387</v>
      </c>
      <c r="C12" s="438">
        <v>2.66</v>
      </c>
      <c r="D12" s="439"/>
      <c r="E12" s="440">
        <v>2.66</v>
      </c>
      <c r="F12" s="441"/>
      <c r="G12" s="442">
        <v>3.94</v>
      </c>
      <c r="H12" s="439"/>
      <c r="I12" s="443">
        <v>5.37</v>
      </c>
      <c r="J12" s="441"/>
      <c r="K12" s="442">
        <v>6.4</v>
      </c>
      <c r="L12" s="439"/>
      <c r="M12" s="443">
        <v>8</v>
      </c>
      <c r="N12" s="441"/>
      <c r="O12" s="444"/>
      <c r="P12" s="449"/>
      <c r="Q12" s="445"/>
      <c r="R12" s="446">
        <f t="shared" si="0"/>
        <v>0</v>
      </c>
    </row>
    <row r="13" spans="2:22" ht="15" customHeight="1" x14ac:dyDescent="0.2">
      <c r="B13" s="437" t="s">
        <v>388</v>
      </c>
      <c r="C13" s="438">
        <v>4.32</v>
      </c>
      <c r="D13" s="439"/>
      <c r="E13" s="440">
        <v>4.4400000000000004</v>
      </c>
      <c r="F13" s="441"/>
      <c r="G13" s="442">
        <v>4.5</v>
      </c>
      <c r="H13" s="439"/>
      <c r="I13" s="443">
        <v>8.02</v>
      </c>
      <c r="J13" s="441"/>
      <c r="K13" s="442">
        <v>11.35</v>
      </c>
      <c r="L13" s="439"/>
      <c r="M13" s="443">
        <v>16.649999999999999</v>
      </c>
      <c r="N13" s="441"/>
      <c r="O13" s="444"/>
      <c r="P13" s="449"/>
      <c r="Q13" s="445"/>
      <c r="R13" s="446">
        <f t="shared" si="0"/>
        <v>0</v>
      </c>
    </row>
    <row r="14" spans="2:22" ht="15" customHeight="1" x14ac:dyDescent="0.2">
      <c r="B14" s="437" t="s">
        <v>389</v>
      </c>
      <c r="C14" s="438">
        <v>6.41</v>
      </c>
      <c r="D14" s="439"/>
      <c r="E14" s="440">
        <v>7.5</v>
      </c>
      <c r="F14" s="441"/>
      <c r="G14" s="442">
        <v>7.5</v>
      </c>
      <c r="H14" s="439"/>
      <c r="I14" s="443">
        <v>8.2200000000000006</v>
      </c>
      <c r="J14" s="441"/>
      <c r="K14" s="442">
        <v>10.72</v>
      </c>
      <c r="L14" s="439"/>
      <c r="M14" s="443">
        <v>13.21</v>
      </c>
      <c r="N14" s="441"/>
      <c r="O14" s="444"/>
      <c r="P14" s="449"/>
      <c r="Q14" s="445"/>
      <c r="R14" s="446">
        <f t="shared" si="0"/>
        <v>0</v>
      </c>
    </row>
    <row r="15" spans="2:22" ht="15" customHeight="1" x14ac:dyDescent="0.2">
      <c r="B15" s="437" t="s">
        <v>390</v>
      </c>
      <c r="C15" s="438">
        <v>19.989999999999998</v>
      </c>
      <c r="D15" s="439"/>
      <c r="E15" s="440">
        <v>21.1</v>
      </c>
      <c r="F15" s="441"/>
      <c r="G15" s="442">
        <v>23.94</v>
      </c>
      <c r="H15" s="439"/>
      <c r="I15" s="443">
        <v>25.41</v>
      </c>
      <c r="J15" s="441"/>
      <c r="K15" s="442">
        <v>29.86</v>
      </c>
      <c r="L15" s="439"/>
      <c r="M15" s="443">
        <v>34.67</v>
      </c>
      <c r="N15" s="441"/>
      <c r="O15" s="444"/>
      <c r="P15" s="449"/>
      <c r="Q15" s="445"/>
      <c r="R15" s="446">
        <f t="shared" si="0"/>
        <v>0</v>
      </c>
    </row>
    <row r="16" spans="2:22" ht="15" customHeight="1" x14ac:dyDescent="0.2">
      <c r="B16" s="437" t="s">
        <v>391</v>
      </c>
      <c r="C16" s="438">
        <v>54.19</v>
      </c>
      <c r="D16" s="439"/>
      <c r="E16" s="440">
        <v>63.22</v>
      </c>
      <c r="F16" s="441"/>
      <c r="G16" s="442">
        <v>69.44</v>
      </c>
      <c r="H16" s="439"/>
      <c r="I16" s="443">
        <v>94.74</v>
      </c>
      <c r="J16" s="441"/>
      <c r="K16" s="442">
        <v>106.65</v>
      </c>
      <c r="L16" s="439"/>
      <c r="M16" s="443">
        <v>169.29</v>
      </c>
      <c r="N16" s="441"/>
      <c r="O16" s="444"/>
      <c r="P16" s="449"/>
      <c r="Q16" s="445"/>
      <c r="R16" s="446">
        <f t="shared" si="0"/>
        <v>0</v>
      </c>
    </row>
    <row r="17" spans="2:18" ht="15" customHeight="1" x14ac:dyDescent="0.2">
      <c r="B17" s="437" t="s">
        <v>392</v>
      </c>
      <c r="C17" s="438">
        <v>0</v>
      </c>
      <c r="D17" s="439"/>
      <c r="E17" s="440">
        <v>10.220000000000001</v>
      </c>
      <c r="F17" s="441"/>
      <c r="G17" s="442">
        <v>12.82</v>
      </c>
      <c r="H17" s="439"/>
      <c r="I17" s="443">
        <v>17.850000000000001</v>
      </c>
      <c r="J17" s="441"/>
      <c r="K17" s="442">
        <v>20.12</v>
      </c>
      <c r="L17" s="439"/>
      <c r="M17" s="443">
        <v>32.24</v>
      </c>
      <c r="N17" s="441"/>
      <c r="O17" s="444"/>
      <c r="P17" s="449"/>
      <c r="Q17" s="445"/>
      <c r="R17" s="446">
        <f t="shared" si="0"/>
        <v>0</v>
      </c>
    </row>
    <row r="18" spans="2:18" ht="15" customHeight="1" x14ac:dyDescent="0.2">
      <c r="B18" s="437" t="s">
        <v>393</v>
      </c>
      <c r="C18" s="438">
        <v>5.55</v>
      </c>
      <c r="D18" s="439"/>
      <c r="E18" s="440">
        <v>6.79</v>
      </c>
      <c r="F18" s="441"/>
      <c r="G18" s="442">
        <v>10.119999999999999</v>
      </c>
      <c r="H18" s="439"/>
      <c r="I18" s="443">
        <v>11.49</v>
      </c>
      <c r="J18" s="441"/>
      <c r="K18" s="442">
        <v>17.91</v>
      </c>
      <c r="L18" s="439"/>
      <c r="M18" s="443">
        <v>27.8</v>
      </c>
      <c r="N18" s="441"/>
      <c r="O18" s="444"/>
      <c r="P18" s="449"/>
      <c r="Q18" s="445"/>
      <c r="R18" s="446">
        <f t="shared" si="0"/>
        <v>0</v>
      </c>
    </row>
    <row r="19" spans="2:18" ht="15" customHeight="1" x14ac:dyDescent="0.2">
      <c r="B19" s="437" t="s">
        <v>394</v>
      </c>
      <c r="C19" s="438">
        <v>34.159999999999997</v>
      </c>
      <c r="D19" s="439"/>
      <c r="E19" s="440">
        <v>42.15</v>
      </c>
      <c r="F19" s="441"/>
      <c r="G19" s="442">
        <v>49.24</v>
      </c>
      <c r="H19" s="439"/>
      <c r="I19" s="443">
        <v>69.22</v>
      </c>
      <c r="J19" s="441"/>
      <c r="K19" s="442">
        <v>88.27</v>
      </c>
      <c r="L19" s="439"/>
      <c r="M19" s="443">
        <v>120.21</v>
      </c>
      <c r="N19" s="441"/>
      <c r="O19" s="444"/>
      <c r="P19" s="449"/>
      <c r="Q19" s="445"/>
      <c r="R19" s="446">
        <f t="shared" si="0"/>
        <v>0</v>
      </c>
    </row>
    <row r="20" spans="2:18" ht="15" customHeight="1" x14ac:dyDescent="0.2">
      <c r="B20" s="437" t="s">
        <v>395</v>
      </c>
      <c r="C20" s="438">
        <v>97.16</v>
      </c>
      <c r="D20" s="439"/>
      <c r="E20" s="440">
        <v>97.16</v>
      </c>
      <c r="F20" s="441"/>
      <c r="G20" s="442">
        <v>103.38</v>
      </c>
      <c r="H20" s="439"/>
      <c r="I20" s="443">
        <v>155.71</v>
      </c>
      <c r="J20" s="441"/>
      <c r="K20" s="442">
        <v>188.99</v>
      </c>
      <c r="L20" s="439"/>
      <c r="M20" s="443">
        <v>260.39999999999998</v>
      </c>
      <c r="N20" s="441"/>
      <c r="O20" s="444"/>
      <c r="P20" s="449"/>
      <c r="Q20" s="445"/>
      <c r="R20" s="446">
        <f t="shared" si="0"/>
        <v>0</v>
      </c>
    </row>
    <row r="21" spans="2:18" ht="15" customHeight="1" x14ac:dyDescent="0.2">
      <c r="B21" s="437" t="s">
        <v>396</v>
      </c>
      <c r="C21" s="438">
        <v>12.6</v>
      </c>
      <c r="D21" s="439"/>
      <c r="E21" s="440">
        <v>12.6</v>
      </c>
      <c r="F21" s="441"/>
      <c r="G21" s="442">
        <v>14.49</v>
      </c>
      <c r="H21" s="439"/>
      <c r="I21" s="443">
        <v>14.49</v>
      </c>
      <c r="J21" s="441"/>
      <c r="K21" s="442">
        <v>14.49</v>
      </c>
      <c r="L21" s="439"/>
      <c r="M21" s="443">
        <v>14.49</v>
      </c>
      <c r="N21" s="441"/>
      <c r="O21" s="444"/>
      <c r="P21" s="449"/>
      <c r="Q21" s="445"/>
      <c r="R21" s="446">
        <f t="shared" si="0"/>
        <v>0</v>
      </c>
    </row>
    <row r="22" spans="2:18" ht="15" customHeight="1" x14ac:dyDescent="0.2">
      <c r="B22" s="437"/>
      <c r="C22" s="438"/>
      <c r="D22" s="439"/>
      <c r="E22" s="440"/>
      <c r="F22" s="441"/>
      <c r="G22" s="442"/>
      <c r="H22" s="439"/>
      <c r="I22" s="443"/>
      <c r="J22" s="441"/>
      <c r="K22" s="442"/>
      <c r="L22" s="439"/>
      <c r="M22" s="443"/>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398</v>
      </c>
      <c r="D29" s="422"/>
      <c r="E29" s="423" t="s">
        <v>399</v>
      </c>
      <c r="F29" s="422"/>
      <c r="G29" s="424" t="s">
        <v>400</v>
      </c>
      <c r="H29" s="422"/>
      <c r="I29" s="423" t="s">
        <v>401</v>
      </c>
      <c r="J29" s="422"/>
      <c r="K29" s="424" t="s">
        <v>402</v>
      </c>
      <c r="L29" s="422"/>
      <c r="M29" s="423" t="s">
        <v>403</v>
      </c>
      <c r="N29" s="463"/>
      <c r="O29" s="425"/>
      <c r="P29" s="422"/>
      <c r="Q29" s="426"/>
      <c r="R29" s="427"/>
    </row>
    <row r="30" spans="2:18" ht="15" customHeight="1" x14ac:dyDescent="0.2">
      <c r="B30" s="428" t="s">
        <v>382</v>
      </c>
      <c r="C30" s="429">
        <v>6.26</v>
      </c>
      <c r="D30" s="430"/>
      <c r="E30" s="431">
        <v>7.96</v>
      </c>
      <c r="F30" s="432"/>
      <c r="G30" s="433">
        <v>7.96</v>
      </c>
      <c r="H30" s="430"/>
      <c r="I30" s="434">
        <v>9.99</v>
      </c>
      <c r="J30" s="432"/>
      <c r="K30" s="433">
        <v>11.84</v>
      </c>
      <c r="L30" s="430"/>
      <c r="M30" s="434">
        <v>11.84</v>
      </c>
      <c r="N30" s="432"/>
      <c r="O30" s="435"/>
      <c r="P30" s="525"/>
      <c r="Q30" s="419"/>
      <c r="R30" s="436">
        <f t="shared" ref="R30:R45" si="1">SUM(C30*D30+E30*F30+G30*H30+I30*J30+K30*L30+M30*+N30+O30*P30)</f>
        <v>0</v>
      </c>
    </row>
    <row r="31" spans="2:18" ht="15" customHeight="1" x14ac:dyDescent="0.2">
      <c r="B31" s="437" t="s">
        <v>383</v>
      </c>
      <c r="C31" s="438">
        <v>119.78</v>
      </c>
      <c r="D31" s="439"/>
      <c r="E31" s="440">
        <v>135.01</v>
      </c>
      <c r="F31" s="441"/>
      <c r="G31" s="442">
        <v>152.41999999999999</v>
      </c>
      <c r="H31" s="439"/>
      <c r="I31" s="443">
        <v>169.29</v>
      </c>
      <c r="J31" s="441"/>
      <c r="K31" s="442">
        <v>189.44</v>
      </c>
      <c r="L31" s="439"/>
      <c r="M31" s="443">
        <v>213.37</v>
      </c>
      <c r="N31" s="441"/>
      <c r="O31" s="444"/>
      <c r="P31" s="449"/>
      <c r="Q31" s="445"/>
      <c r="R31" s="446">
        <f t="shared" si="1"/>
        <v>0</v>
      </c>
    </row>
    <row r="32" spans="2:18" ht="15" customHeight="1" x14ac:dyDescent="0.2">
      <c r="B32" s="437" t="s">
        <v>384</v>
      </c>
      <c r="C32" s="438">
        <v>40.01</v>
      </c>
      <c r="D32" s="439"/>
      <c r="E32" s="440">
        <v>49.85</v>
      </c>
      <c r="F32" s="441"/>
      <c r="G32" s="442">
        <v>55.33</v>
      </c>
      <c r="H32" s="439"/>
      <c r="I32" s="443">
        <v>70.64</v>
      </c>
      <c r="J32" s="441"/>
      <c r="K32" s="442">
        <v>79.92</v>
      </c>
      <c r="L32" s="439"/>
      <c r="M32" s="443">
        <v>127.04</v>
      </c>
      <c r="N32" s="441"/>
      <c r="O32" s="444"/>
      <c r="P32" s="449"/>
      <c r="Q32" s="445"/>
      <c r="R32" s="446">
        <f t="shared" si="1"/>
        <v>0</v>
      </c>
    </row>
    <row r="33" spans="2:18" ht="15" customHeight="1" x14ac:dyDescent="0.2">
      <c r="B33" s="437" t="s">
        <v>385</v>
      </c>
      <c r="C33" s="438">
        <v>33.130000000000003</v>
      </c>
      <c r="D33" s="439"/>
      <c r="E33" s="440">
        <v>36.159999999999997</v>
      </c>
      <c r="F33" s="441"/>
      <c r="G33" s="442">
        <v>37.51</v>
      </c>
      <c r="H33" s="439"/>
      <c r="I33" s="443">
        <v>41.3</v>
      </c>
      <c r="J33" s="441"/>
      <c r="K33" s="442">
        <v>50.2</v>
      </c>
      <c r="L33" s="439"/>
      <c r="M33" s="443">
        <v>71.010000000000005</v>
      </c>
      <c r="N33" s="441"/>
      <c r="O33" s="444"/>
      <c r="P33" s="449"/>
      <c r="Q33" s="445"/>
      <c r="R33" s="446">
        <f t="shared" si="1"/>
        <v>0</v>
      </c>
    </row>
    <row r="34" spans="2:18" ht="15" customHeight="1" x14ac:dyDescent="0.2">
      <c r="B34" s="437" t="s">
        <v>386</v>
      </c>
      <c r="C34" s="438">
        <v>58.09</v>
      </c>
      <c r="D34" s="439"/>
      <c r="E34" s="440">
        <v>64.98</v>
      </c>
      <c r="F34" s="441"/>
      <c r="G34" s="442">
        <v>90.01</v>
      </c>
      <c r="H34" s="439"/>
      <c r="I34" s="443">
        <v>96.26</v>
      </c>
      <c r="J34" s="441"/>
      <c r="K34" s="442">
        <v>144.76</v>
      </c>
      <c r="L34" s="439"/>
      <c r="M34" s="443">
        <v>159.58000000000001</v>
      </c>
      <c r="N34" s="441"/>
      <c r="O34" s="444"/>
      <c r="P34" s="449"/>
      <c r="Q34" s="445"/>
      <c r="R34" s="446">
        <f t="shared" si="1"/>
        <v>0</v>
      </c>
    </row>
    <row r="35" spans="2:18" ht="15" customHeight="1" x14ac:dyDescent="0.2">
      <c r="B35" s="437" t="s">
        <v>387</v>
      </c>
      <c r="C35" s="438">
        <v>9.33</v>
      </c>
      <c r="D35" s="439"/>
      <c r="E35" s="440">
        <v>9.69</v>
      </c>
      <c r="F35" s="441"/>
      <c r="G35" s="442">
        <v>12.8</v>
      </c>
      <c r="H35" s="439"/>
      <c r="I35" s="443">
        <v>12.8</v>
      </c>
      <c r="J35" s="441"/>
      <c r="K35" s="523">
        <v>13.86</v>
      </c>
      <c r="L35" s="439"/>
      <c r="M35" s="443">
        <v>14.53</v>
      </c>
      <c r="N35" s="441"/>
      <c r="O35" s="444"/>
      <c r="P35" s="449"/>
      <c r="Q35" s="445"/>
      <c r="R35" s="446">
        <f t="shared" si="1"/>
        <v>0</v>
      </c>
    </row>
    <row r="36" spans="2:18" ht="15" customHeight="1" x14ac:dyDescent="0.2">
      <c r="B36" s="437" t="s">
        <v>388</v>
      </c>
      <c r="C36" s="438">
        <v>17</v>
      </c>
      <c r="D36" s="439"/>
      <c r="E36" s="440">
        <v>26.24</v>
      </c>
      <c r="F36" s="441"/>
      <c r="G36" s="442">
        <v>26.88</v>
      </c>
      <c r="H36" s="439"/>
      <c r="I36" s="443">
        <v>32.94</v>
      </c>
      <c r="J36" s="441"/>
      <c r="K36" s="442">
        <v>33.729999999999997</v>
      </c>
      <c r="L36" s="439"/>
      <c r="M36" s="443">
        <v>33.729999999999997</v>
      </c>
      <c r="N36" s="441"/>
      <c r="O36" s="444"/>
      <c r="P36" s="449"/>
      <c r="Q36" s="445"/>
      <c r="R36" s="446">
        <f t="shared" si="1"/>
        <v>0</v>
      </c>
    </row>
    <row r="37" spans="2:18" ht="15" customHeight="1" x14ac:dyDescent="0.2">
      <c r="B37" s="437" t="s">
        <v>389</v>
      </c>
      <c r="C37" s="438">
        <v>13.94</v>
      </c>
      <c r="D37" s="439"/>
      <c r="E37" s="440">
        <v>14.66</v>
      </c>
      <c r="F37" s="441"/>
      <c r="G37" s="442">
        <v>15.01</v>
      </c>
      <c r="H37" s="439"/>
      <c r="I37" s="443">
        <v>16.07</v>
      </c>
      <c r="J37" s="441"/>
      <c r="K37" s="442">
        <v>17.510000000000002</v>
      </c>
      <c r="L37" s="439"/>
      <c r="M37" s="443">
        <v>17.84</v>
      </c>
      <c r="N37" s="441"/>
      <c r="O37" s="444"/>
      <c r="P37" s="449"/>
      <c r="Q37" s="445"/>
      <c r="R37" s="446">
        <f t="shared" si="1"/>
        <v>0</v>
      </c>
    </row>
    <row r="38" spans="2:18" ht="15" customHeight="1" x14ac:dyDescent="0.2">
      <c r="B38" s="437" t="s">
        <v>390</v>
      </c>
      <c r="C38" s="438">
        <v>49.11</v>
      </c>
      <c r="D38" s="439"/>
      <c r="E38" s="440">
        <v>51.86</v>
      </c>
      <c r="F38" s="441"/>
      <c r="G38" s="442">
        <v>66.39</v>
      </c>
      <c r="H38" s="439"/>
      <c r="I38" s="443">
        <v>70.56</v>
      </c>
      <c r="J38" s="441"/>
      <c r="K38" s="442">
        <v>96.15</v>
      </c>
      <c r="L38" s="439"/>
      <c r="M38" s="443">
        <v>96.15</v>
      </c>
      <c r="N38" s="441"/>
      <c r="O38" s="444"/>
      <c r="P38" s="449"/>
      <c r="Q38" s="445"/>
      <c r="R38" s="446">
        <f t="shared" si="1"/>
        <v>0</v>
      </c>
    </row>
    <row r="39" spans="2:18" ht="15" customHeight="1" x14ac:dyDescent="0.2">
      <c r="B39" s="437" t="s">
        <v>391</v>
      </c>
      <c r="C39" s="438">
        <v>127.25</v>
      </c>
      <c r="D39" s="439"/>
      <c r="E39" s="524">
        <v>143.61000000000001</v>
      </c>
      <c r="F39" s="441"/>
      <c r="G39" s="442">
        <v>173.22</v>
      </c>
      <c r="H39" s="439"/>
      <c r="I39" s="443">
        <v>241.44</v>
      </c>
      <c r="J39" s="441"/>
      <c r="K39" s="442">
        <v>279.95999999999998</v>
      </c>
      <c r="L39" s="439"/>
      <c r="M39" s="443">
        <v>288.39</v>
      </c>
      <c r="N39" s="441"/>
      <c r="O39" s="444"/>
      <c r="P39" s="449"/>
      <c r="Q39" s="445"/>
      <c r="R39" s="446">
        <f t="shared" si="1"/>
        <v>0</v>
      </c>
    </row>
    <row r="40" spans="2:18" ht="15" customHeight="1" x14ac:dyDescent="0.2">
      <c r="B40" s="437" t="s">
        <v>392</v>
      </c>
      <c r="C40" s="438">
        <v>44.24</v>
      </c>
      <c r="D40" s="439"/>
      <c r="E40" s="440">
        <v>49.86</v>
      </c>
      <c r="F40" s="441"/>
      <c r="G40" s="442">
        <v>55.32</v>
      </c>
      <c r="H40" s="439"/>
      <c r="I40" s="443">
        <v>57.61</v>
      </c>
      <c r="J40" s="441"/>
      <c r="K40" s="442">
        <v>71.63</v>
      </c>
      <c r="L40" s="439"/>
      <c r="M40" s="443">
        <v>78.150000000000006</v>
      </c>
      <c r="N40" s="441"/>
      <c r="O40" s="444"/>
      <c r="P40" s="449"/>
      <c r="Q40" s="445"/>
      <c r="R40" s="446">
        <f t="shared" si="1"/>
        <v>0</v>
      </c>
    </row>
    <row r="41" spans="2:18" ht="15" customHeight="1" x14ac:dyDescent="0.2">
      <c r="B41" s="437" t="s">
        <v>393</v>
      </c>
      <c r="C41" s="438">
        <v>79.010000000000005</v>
      </c>
      <c r="D41" s="439"/>
      <c r="E41" s="440">
        <v>92.19</v>
      </c>
      <c r="F41" s="441"/>
      <c r="G41" s="442">
        <v>105.34</v>
      </c>
      <c r="H41" s="439"/>
      <c r="I41" s="443">
        <v>125.1</v>
      </c>
      <c r="J41" s="441"/>
      <c r="K41" s="442">
        <v>144.86000000000001</v>
      </c>
      <c r="L41" s="439"/>
      <c r="M41" s="443">
        <v>151.44</v>
      </c>
      <c r="N41" s="441"/>
      <c r="O41" s="444"/>
      <c r="P41" s="449"/>
      <c r="Q41" s="445"/>
      <c r="R41" s="446">
        <f t="shared" si="1"/>
        <v>0</v>
      </c>
    </row>
    <row r="42" spans="2:18" ht="15" customHeight="1" x14ac:dyDescent="0.2">
      <c r="B42" s="437" t="s">
        <v>394</v>
      </c>
      <c r="C42" s="438">
        <v>136.65</v>
      </c>
      <c r="D42" s="439"/>
      <c r="E42" s="440">
        <v>158.36000000000001</v>
      </c>
      <c r="F42" s="441"/>
      <c r="G42" s="442">
        <v>180.11</v>
      </c>
      <c r="H42" s="439"/>
      <c r="I42" s="443">
        <v>224.26</v>
      </c>
      <c r="J42" s="441"/>
      <c r="K42" s="442">
        <v>0</v>
      </c>
      <c r="L42" s="439"/>
      <c r="M42" s="443">
        <v>0</v>
      </c>
      <c r="N42" s="441"/>
      <c r="O42" s="444"/>
      <c r="P42" s="449"/>
      <c r="Q42" s="445"/>
      <c r="R42" s="446">
        <f t="shared" si="1"/>
        <v>0</v>
      </c>
    </row>
    <row r="43" spans="2:18" ht="15" customHeight="1" x14ac:dyDescent="0.2">
      <c r="B43" s="437" t="s">
        <v>395</v>
      </c>
      <c r="C43" s="438">
        <v>282.58</v>
      </c>
      <c r="D43" s="439"/>
      <c r="E43" s="440">
        <v>322.95999999999998</v>
      </c>
      <c r="F43" s="441"/>
      <c r="G43" s="442">
        <v>360.68</v>
      </c>
      <c r="H43" s="439"/>
      <c r="I43" s="443">
        <v>381.53</v>
      </c>
      <c r="J43" s="441"/>
      <c r="K43" s="442">
        <v>0</v>
      </c>
      <c r="L43" s="439"/>
      <c r="M43" s="443">
        <v>0</v>
      </c>
      <c r="N43" s="441"/>
      <c r="O43" s="444"/>
      <c r="P43" s="449"/>
      <c r="Q43" s="445"/>
      <c r="R43" s="446">
        <f t="shared" si="1"/>
        <v>0</v>
      </c>
    </row>
    <row r="44" spans="2:18" ht="15" customHeight="1" x14ac:dyDescent="0.2">
      <c r="B44" s="437" t="s">
        <v>396</v>
      </c>
      <c r="C44" s="438">
        <v>14.49</v>
      </c>
      <c r="D44" s="439"/>
      <c r="E44" s="440">
        <v>14.49</v>
      </c>
      <c r="F44" s="441"/>
      <c r="G44" s="442">
        <v>14.49</v>
      </c>
      <c r="H44" s="439"/>
      <c r="I44" s="443">
        <v>27.8</v>
      </c>
      <c r="J44" s="441"/>
      <c r="K44" s="442">
        <v>27.8</v>
      </c>
      <c r="L44" s="439"/>
      <c r="M44" s="443">
        <v>27.8</v>
      </c>
      <c r="N44" s="441"/>
      <c r="O44" s="444"/>
      <c r="P44" s="449"/>
      <c r="Q44" s="445"/>
      <c r="R44" s="446">
        <f t="shared" si="1"/>
        <v>0</v>
      </c>
    </row>
    <row r="45" spans="2:18" ht="15" customHeight="1" x14ac:dyDescent="0.2">
      <c r="B45" s="437"/>
      <c r="C45" s="438"/>
      <c r="D45" s="439"/>
      <c r="E45" s="440"/>
      <c r="F45" s="441"/>
      <c r="G45" s="442"/>
      <c r="H45" s="439"/>
      <c r="I45" s="443"/>
      <c r="J45" s="441"/>
      <c r="K45" s="442"/>
      <c r="L45" s="439"/>
      <c r="M45" s="443"/>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sheetData>
  <mergeCells count="4">
    <mergeCell ref="H2:L2"/>
    <mergeCell ref="B3:O3"/>
    <mergeCell ref="N2:O2"/>
    <mergeCell ref="B2:E2"/>
  </mergeCells>
  <pageMargins left="0.7" right="0.7" top="0.75" bottom="0.75" header="0.3" footer="0.3"/>
  <pageSetup paperSize="9" orientation="portrait"/>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sheetPr codeName="Sheet13">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415" customWidth="1"/>
    <col min="18" max="18" width="13.1640625" customWidth="1"/>
    <col min="20" max="20" width="9.1640625" style="415" customWidth="1"/>
    <col min="21" max="21" width="5.5" customWidth="1"/>
    <col min="22" max="22" width="12.33203125" customWidth="1"/>
    <col min="23" max="23" width="11.5" customWidth="1"/>
  </cols>
  <sheetData>
    <row r="1" spans="2:22" ht="14" customHeight="1" thickBot="1" x14ac:dyDescent="0.2"/>
    <row r="2" spans="2:22" ht="16" customHeight="1" thickBot="1" x14ac:dyDescent="0.25">
      <c r="B2" s="974" t="s">
        <v>366</v>
      </c>
      <c r="C2" s="975"/>
      <c r="D2" s="975"/>
      <c r="E2" s="976"/>
      <c r="G2" s="482" t="s">
        <v>367</v>
      </c>
      <c r="H2" s="974" t="e">
        <f>IF([17]CANOPY!G3="","",[17]CANOPY!G3)</f>
        <v>#REF!</v>
      </c>
      <c r="I2" s="975"/>
      <c r="J2" s="975"/>
      <c r="K2" s="975"/>
      <c r="L2" s="976"/>
      <c r="M2" s="483" t="s">
        <v>368</v>
      </c>
      <c r="N2" s="974" t="e">
        <f>IF([17]CANOPY!C3="","",[17]CANOPY!C3)</f>
        <v>#REF!</v>
      </c>
      <c r="O2" s="976"/>
      <c r="Q2" s="416"/>
      <c r="R2" s="469" t="s">
        <v>369</v>
      </c>
      <c r="T2" s="837" t="s">
        <v>370</v>
      </c>
      <c r="U2" s="838"/>
      <c r="V2" s="839"/>
    </row>
    <row r="3" spans="2:22" ht="14" customHeight="1" thickBot="1" x14ac:dyDescent="0.2">
      <c r="B3" s="977" t="s">
        <v>371</v>
      </c>
      <c r="C3" s="978"/>
      <c r="D3" s="978"/>
      <c r="E3" s="978"/>
      <c r="F3" s="978"/>
      <c r="G3" s="978"/>
      <c r="H3" s="978"/>
      <c r="I3" s="978"/>
      <c r="J3" s="978"/>
      <c r="K3" s="978"/>
      <c r="L3" s="978"/>
      <c r="M3" s="978"/>
      <c r="N3" s="978"/>
      <c r="O3" s="978"/>
      <c r="R3" s="470">
        <f>R25+R48+R71+R94</f>
        <v>0</v>
      </c>
      <c r="T3" s="497" t="s">
        <v>372</v>
      </c>
      <c r="U3" s="497" t="s">
        <v>16</v>
      </c>
      <c r="V3" s="31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40">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sheetPr codeName="Sheet14">
    <tabColor theme="0" tint="-0.249977111117893"/>
  </sheetPr>
  <dimension ref="B1:V94"/>
  <sheetViews>
    <sheetView zoomScale="90" zoomScaleNormal="90" workbookViewId="0">
      <selection activeCell="G187" sqref="G187"/>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415" customWidth="1"/>
    <col min="18" max="18" width="13.1640625" customWidth="1"/>
    <col min="20" max="20" width="8.83203125" style="415" customWidth="1"/>
    <col min="21" max="21" width="5.6640625" customWidth="1"/>
    <col min="22" max="22" width="12.33203125" customWidth="1"/>
    <col min="23" max="23" width="11.5" customWidth="1"/>
  </cols>
  <sheetData>
    <row r="1" spans="2:22" ht="14" customHeight="1" thickBot="1" x14ac:dyDescent="0.2"/>
    <row r="2" spans="2:22" ht="16" customHeight="1" thickBot="1" x14ac:dyDescent="0.25">
      <c r="B2" s="974" t="s">
        <v>443</v>
      </c>
      <c r="C2" s="975"/>
      <c r="D2" s="975"/>
      <c r="E2" s="976"/>
      <c r="G2" s="482" t="s">
        <v>367</v>
      </c>
      <c r="H2" s="974" t="e">
        <f>IF([17]CANOPY!G3="","",[17]CANOPY!G3)</f>
        <v>#REF!</v>
      </c>
      <c r="I2" s="975"/>
      <c r="J2" s="975"/>
      <c r="K2" s="975"/>
      <c r="L2" s="976"/>
      <c r="M2" s="483" t="s">
        <v>368</v>
      </c>
      <c r="N2" s="974" t="e">
        <f>IF([17]CANOPY!C3="","",[17]CANOPY!C3)</f>
        <v>#REF!</v>
      </c>
      <c r="O2" s="976"/>
      <c r="Q2" s="416"/>
      <c r="R2" s="469" t="s">
        <v>369</v>
      </c>
      <c r="T2" s="822" t="s">
        <v>370</v>
      </c>
      <c r="U2" s="823"/>
      <c r="V2" s="824"/>
    </row>
    <row r="3" spans="2:22" ht="14" customHeight="1" thickBot="1" x14ac:dyDescent="0.2">
      <c r="B3" s="977" t="s">
        <v>371</v>
      </c>
      <c r="C3" s="978"/>
      <c r="D3" s="978"/>
      <c r="E3" s="978"/>
      <c r="F3" s="978"/>
      <c r="G3" s="978"/>
      <c r="H3" s="978"/>
      <c r="I3" s="978"/>
      <c r="J3" s="978"/>
      <c r="K3" s="978"/>
      <c r="L3" s="978"/>
      <c r="M3" s="978"/>
      <c r="N3" s="978"/>
      <c r="O3" s="978"/>
      <c r="R3" s="470">
        <f>R25+R48+R71+R94</f>
        <v>0</v>
      </c>
      <c r="T3" s="821" t="s">
        <v>372</v>
      </c>
      <c r="U3" s="821" t="s">
        <v>16</v>
      </c>
      <c r="V3" s="820"/>
    </row>
    <row r="4" spans="2:22" ht="14" customHeight="1" thickBot="1" x14ac:dyDescent="0.2">
      <c r="T4" s="520">
        <v>2017</v>
      </c>
      <c r="U4" s="521">
        <v>0.03</v>
      </c>
      <c r="V4" s="522" t="s">
        <v>373</v>
      </c>
    </row>
    <row r="5" spans="2:22" ht="15" customHeight="1" x14ac:dyDescent="0.2">
      <c r="C5" s="417" t="s">
        <v>374</v>
      </c>
      <c r="D5" s="418" t="s">
        <v>375</v>
      </c>
      <c r="E5" s="418" t="s">
        <v>374</v>
      </c>
      <c r="F5" s="418" t="s">
        <v>375</v>
      </c>
      <c r="G5" s="418" t="s">
        <v>374</v>
      </c>
      <c r="H5" s="418" t="s">
        <v>375</v>
      </c>
      <c r="I5" s="418" t="s">
        <v>374</v>
      </c>
      <c r="J5" s="418" t="s">
        <v>375</v>
      </c>
      <c r="K5" s="418" t="s">
        <v>374</v>
      </c>
      <c r="L5" s="418" t="s">
        <v>375</v>
      </c>
      <c r="M5" s="418" t="s">
        <v>374</v>
      </c>
      <c r="N5" s="418" t="s">
        <v>375</v>
      </c>
      <c r="O5" s="418"/>
      <c r="P5" s="418"/>
      <c r="Q5" s="419"/>
      <c r="R5" s="420" t="s">
        <v>45</v>
      </c>
      <c r="T5" s="815">
        <v>2024</v>
      </c>
      <c r="U5" s="816">
        <v>0.4</v>
      </c>
      <c r="V5" s="825">
        <f>R3*U5+R3</f>
        <v>0</v>
      </c>
    </row>
    <row r="6" spans="2:22" ht="16" customHeight="1" thickBot="1" x14ac:dyDescent="0.25">
      <c r="C6" s="421" t="s">
        <v>404</v>
      </c>
      <c r="D6" s="422"/>
      <c r="E6" s="423" t="s">
        <v>405</v>
      </c>
      <c r="F6" s="422"/>
      <c r="G6" s="424" t="s">
        <v>406</v>
      </c>
      <c r="H6" s="422"/>
      <c r="I6" s="423" t="s">
        <v>407</v>
      </c>
      <c r="J6" s="422"/>
      <c r="K6" s="424" t="s">
        <v>408</v>
      </c>
      <c r="L6" s="422"/>
      <c r="M6" s="423" t="s">
        <v>409</v>
      </c>
      <c r="N6" s="422"/>
      <c r="O6" s="425"/>
      <c r="P6" s="422"/>
      <c r="Q6" s="426"/>
      <c r="R6" s="427"/>
    </row>
    <row r="7" spans="2:22" ht="15" customHeight="1" x14ac:dyDescent="0.2">
      <c r="B7" s="428" t="s">
        <v>387</v>
      </c>
      <c r="C7" s="429">
        <v>17.829999999999998</v>
      </c>
      <c r="D7" s="430"/>
      <c r="E7" s="431">
        <v>19.649999999999999</v>
      </c>
      <c r="F7" s="432"/>
      <c r="G7" s="433">
        <v>21.66</v>
      </c>
      <c r="H7" s="430"/>
      <c r="I7" s="434">
        <v>23.3</v>
      </c>
      <c r="J7" s="432"/>
      <c r="K7" s="433">
        <v>25</v>
      </c>
      <c r="L7" s="430"/>
      <c r="M7" s="434">
        <v>26.9</v>
      </c>
      <c r="N7" s="432"/>
      <c r="O7" s="435"/>
      <c r="P7" s="525"/>
      <c r="Q7" s="419"/>
      <c r="R7" s="436">
        <f t="shared" ref="R7:R22" si="0">SUM(C7*D7+E7*F7+G7*H7+I7*J7+K7*L7+M7*+N7+O7*P7)</f>
        <v>0</v>
      </c>
    </row>
    <row r="8" spans="2:22" ht="15" customHeight="1" x14ac:dyDescent="0.2">
      <c r="B8" s="437" t="s">
        <v>410</v>
      </c>
      <c r="C8" s="438">
        <v>41.24</v>
      </c>
      <c r="D8" s="439"/>
      <c r="E8" s="440">
        <v>47.3</v>
      </c>
      <c r="F8" s="441"/>
      <c r="G8" s="442">
        <v>54.24</v>
      </c>
      <c r="H8" s="439"/>
      <c r="I8" s="443">
        <v>58.57</v>
      </c>
      <c r="J8" s="441"/>
      <c r="K8" s="442">
        <v>63.31</v>
      </c>
      <c r="L8" s="439"/>
      <c r="M8" s="443">
        <v>68.36</v>
      </c>
      <c r="N8" s="441"/>
      <c r="O8" s="444"/>
      <c r="P8" s="449"/>
      <c r="Q8" s="445"/>
      <c r="R8" s="446">
        <f t="shared" si="0"/>
        <v>0</v>
      </c>
    </row>
    <row r="9" spans="2:22" ht="15" customHeight="1" x14ac:dyDescent="0.2">
      <c r="B9" s="437" t="s">
        <v>384</v>
      </c>
      <c r="C9" s="438">
        <v>46.36</v>
      </c>
      <c r="D9" s="439"/>
      <c r="E9" s="440">
        <v>51.97</v>
      </c>
      <c r="F9" s="441"/>
      <c r="G9" s="442">
        <v>58.26</v>
      </c>
      <c r="H9" s="439"/>
      <c r="I9" s="443">
        <v>62.91</v>
      </c>
      <c r="J9" s="441"/>
      <c r="K9" s="442">
        <v>84.58</v>
      </c>
      <c r="L9" s="439"/>
      <c r="M9" s="443">
        <v>91.19</v>
      </c>
      <c r="N9" s="441"/>
      <c r="O9" s="444"/>
      <c r="P9" s="449"/>
      <c r="Q9" s="445"/>
      <c r="R9" s="446">
        <f t="shared" si="0"/>
        <v>0</v>
      </c>
    </row>
    <row r="10" spans="2:22" ht="15" customHeight="1" x14ac:dyDescent="0.2">
      <c r="B10" s="437" t="s">
        <v>385</v>
      </c>
      <c r="C10" s="438">
        <v>39.54</v>
      </c>
      <c r="D10" s="439"/>
      <c r="E10" s="440">
        <v>44.32</v>
      </c>
      <c r="F10" s="441"/>
      <c r="G10" s="442">
        <v>49.69</v>
      </c>
      <c r="H10" s="439"/>
      <c r="I10" s="443">
        <v>53.56</v>
      </c>
      <c r="J10" s="441"/>
      <c r="K10" s="442">
        <v>57.83</v>
      </c>
      <c r="L10" s="439"/>
      <c r="M10" s="443">
        <v>62.34</v>
      </c>
      <c r="N10" s="441"/>
      <c r="O10" s="444"/>
      <c r="P10" s="449"/>
      <c r="Q10" s="445"/>
      <c r="R10" s="446">
        <f t="shared" si="0"/>
        <v>0</v>
      </c>
    </row>
    <row r="11" spans="2:22" ht="15" customHeight="1" x14ac:dyDescent="0.2">
      <c r="B11" s="437" t="s">
        <v>411</v>
      </c>
      <c r="C11" s="438">
        <v>48.83</v>
      </c>
      <c r="D11" s="439"/>
      <c r="E11" s="440">
        <v>56</v>
      </c>
      <c r="F11" s="441"/>
      <c r="G11" s="442">
        <v>64.22</v>
      </c>
      <c r="H11" s="439"/>
      <c r="I11" s="443">
        <v>69.349999999999994</v>
      </c>
      <c r="J11" s="441"/>
      <c r="K11" s="442">
        <v>75.650000000000006</v>
      </c>
      <c r="L11" s="439"/>
      <c r="M11" s="443">
        <v>82.14</v>
      </c>
      <c r="N11" s="441"/>
      <c r="O11" s="444"/>
      <c r="P11" s="449"/>
      <c r="Q11" s="445"/>
      <c r="R11" s="446">
        <f t="shared" si="0"/>
        <v>0</v>
      </c>
    </row>
    <row r="12" spans="2:22" ht="15" customHeight="1" x14ac:dyDescent="0.2">
      <c r="B12" s="437" t="s">
        <v>412</v>
      </c>
      <c r="C12" s="438">
        <v>68.13</v>
      </c>
      <c r="D12" s="439"/>
      <c r="E12" s="440">
        <v>78.13</v>
      </c>
      <c r="F12" s="441"/>
      <c r="G12" s="442">
        <v>89.6</v>
      </c>
      <c r="H12" s="439"/>
      <c r="I12" s="443">
        <v>96.75</v>
      </c>
      <c r="J12" s="441"/>
      <c r="K12" s="442">
        <v>130.08000000000001</v>
      </c>
      <c r="L12" s="439"/>
      <c r="M12" s="443">
        <v>140.25</v>
      </c>
      <c r="N12" s="441"/>
      <c r="O12" s="444"/>
      <c r="P12" s="449"/>
      <c r="Q12" s="445"/>
      <c r="R12" s="446">
        <f t="shared" si="0"/>
        <v>0</v>
      </c>
    </row>
    <row r="13" spans="2:22" ht="15" customHeight="1" x14ac:dyDescent="0.2">
      <c r="B13" s="437" t="s">
        <v>413</v>
      </c>
      <c r="C13" s="438">
        <v>56.59</v>
      </c>
      <c r="D13" s="439"/>
      <c r="E13" s="440">
        <v>64.89</v>
      </c>
      <c r="F13" s="441"/>
      <c r="G13" s="442">
        <v>74.42</v>
      </c>
      <c r="H13" s="439"/>
      <c r="I13" s="443">
        <v>80.36</v>
      </c>
      <c r="J13" s="441"/>
      <c r="K13" s="442">
        <v>86.86</v>
      </c>
      <c r="L13" s="439"/>
      <c r="M13" s="443">
        <v>94.31</v>
      </c>
      <c r="N13" s="441"/>
      <c r="O13" s="444"/>
      <c r="P13" s="449"/>
      <c r="Q13" s="445"/>
      <c r="R13" s="446">
        <f t="shared" si="0"/>
        <v>0</v>
      </c>
    </row>
    <row r="14" spans="2:22" ht="15" customHeight="1" x14ac:dyDescent="0.2">
      <c r="B14" s="437" t="s">
        <v>414</v>
      </c>
      <c r="C14" s="438">
        <v>46.55</v>
      </c>
      <c r="D14" s="439"/>
      <c r="E14" s="440">
        <v>53.38</v>
      </c>
      <c r="F14" s="441"/>
      <c r="G14" s="442">
        <v>61.22</v>
      </c>
      <c r="H14" s="439"/>
      <c r="I14" s="443">
        <v>66.11</v>
      </c>
      <c r="J14" s="441"/>
      <c r="K14" s="442">
        <v>71.45</v>
      </c>
      <c r="L14" s="439"/>
      <c r="M14" s="443">
        <v>77.16</v>
      </c>
      <c r="N14" s="441"/>
      <c r="O14" s="444"/>
      <c r="P14" s="449"/>
      <c r="Q14" s="445"/>
      <c r="R14" s="446">
        <f t="shared" si="0"/>
        <v>0</v>
      </c>
    </row>
    <row r="15" spans="2:22" ht="15" customHeight="1" x14ac:dyDescent="0.2">
      <c r="B15" s="437" t="s">
        <v>415</v>
      </c>
      <c r="C15" s="438">
        <v>46.55</v>
      </c>
      <c r="D15" s="439"/>
      <c r="E15" s="440">
        <v>53.38</v>
      </c>
      <c r="F15" s="441"/>
      <c r="G15" s="442">
        <v>61.22</v>
      </c>
      <c r="H15" s="439"/>
      <c r="I15" s="443">
        <v>66.11</v>
      </c>
      <c r="J15" s="441"/>
      <c r="K15" s="442">
        <v>71.45</v>
      </c>
      <c r="L15" s="439"/>
      <c r="M15" s="443">
        <v>77.16</v>
      </c>
      <c r="N15" s="441"/>
      <c r="O15" s="444"/>
      <c r="P15" s="449"/>
      <c r="Q15" s="445"/>
      <c r="R15" s="446">
        <f t="shared" si="0"/>
        <v>0</v>
      </c>
    </row>
    <row r="16" spans="2:22" ht="15" customHeight="1" x14ac:dyDescent="0.2">
      <c r="B16" s="437" t="s">
        <v>416</v>
      </c>
      <c r="C16" s="438">
        <v>45.56</v>
      </c>
      <c r="D16" s="439"/>
      <c r="E16" s="440">
        <v>51.08</v>
      </c>
      <c r="F16" s="441"/>
      <c r="G16" s="442">
        <v>57.26</v>
      </c>
      <c r="H16" s="439"/>
      <c r="I16" s="443">
        <v>61.72</v>
      </c>
      <c r="J16" s="441"/>
      <c r="K16" s="442">
        <v>66.64</v>
      </c>
      <c r="L16" s="439"/>
      <c r="M16" s="443">
        <v>71.83</v>
      </c>
      <c r="N16" s="441"/>
      <c r="O16" s="444"/>
      <c r="P16" s="449"/>
      <c r="Q16" s="445"/>
      <c r="R16" s="446">
        <f t="shared" si="0"/>
        <v>0</v>
      </c>
    </row>
    <row r="17" spans="2:18" ht="15" customHeight="1" x14ac:dyDescent="0.2">
      <c r="B17" s="437" t="s">
        <v>417</v>
      </c>
      <c r="C17" s="438">
        <v>29.21</v>
      </c>
      <c r="D17" s="439"/>
      <c r="E17" s="440">
        <v>32.200000000000003</v>
      </c>
      <c r="F17" s="441"/>
      <c r="G17" s="442">
        <v>35.49</v>
      </c>
      <c r="H17" s="439"/>
      <c r="I17" s="443">
        <v>38.18</v>
      </c>
      <c r="J17" s="441"/>
      <c r="K17" s="442">
        <v>40.96</v>
      </c>
      <c r="L17" s="439"/>
      <c r="M17" s="443">
        <v>44.07</v>
      </c>
      <c r="N17" s="441"/>
      <c r="O17" s="444"/>
      <c r="P17" s="449"/>
      <c r="Q17" s="445"/>
      <c r="R17" s="446">
        <f t="shared" si="0"/>
        <v>0</v>
      </c>
    </row>
    <row r="18" spans="2:18" ht="15" customHeight="1" x14ac:dyDescent="0.2">
      <c r="B18" s="437" t="s">
        <v>418</v>
      </c>
      <c r="C18" s="438">
        <v>5.66</v>
      </c>
      <c r="D18" s="439"/>
      <c r="E18" s="440">
        <v>6.5</v>
      </c>
      <c r="F18" s="441"/>
      <c r="G18" s="442">
        <v>7.45</v>
      </c>
      <c r="H18" s="439"/>
      <c r="I18" s="443">
        <v>8.1199999999999992</v>
      </c>
      <c r="J18" s="441"/>
      <c r="K18" s="442">
        <v>8.86</v>
      </c>
      <c r="L18" s="439"/>
      <c r="M18" s="443">
        <v>9.65</v>
      </c>
      <c r="N18" s="441"/>
      <c r="O18" s="444"/>
      <c r="P18" s="449"/>
      <c r="Q18" s="445"/>
      <c r="R18" s="446">
        <f t="shared" si="0"/>
        <v>0</v>
      </c>
    </row>
    <row r="19" spans="2:18" ht="15" customHeight="1" x14ac:dyDescent="0.2">
      <c r="B19" s="437" t="s">
        <v>419</v>
      </c>
      <c r="C19" s="438">
        <v>21.1</v>
      </c>
      <c r="D19" s="439"/>
      <c r="E19" s="440">
        <v>24.2</v>
      </c>
      <c r="F19" s="441"/>
      <c r="G19" s="442">
        <v>27.75</v>
      </c>
      <c r="H19" s="439"/>
      <c r="I19" s="443">
        <v>29.97</v>
      </c>
      <c r="J19" s="441"/>
      <c r="K19" s="442">
        <v>32.39</v>
      </c>
      <c r="L19" s="439"/>
      <c r="M19" s="443">
        <v>34.97</v>
      </c>
      <c r="N19" s="441"/>
      <c r="O19" s="444"/>
      <c r="P19" s="449"/>
      <c r="Q19" s="445"/>
      <c r="R19" s="446">
        <f t="shared" si="0"/>
        <v>0</v>
      </c>
    </row>
    <row r="20" spans="2:18" ht="15" customHeight="1" x14ac:dyDescent="0.2">
      <c r="B20" s="437" t="s">
        <v>420</v>
      </c>
      <c r="C20" s="438">
        <v>7.77</v>
      </c>
      <c r="D20" s="439"/>
      <c r="E20" s="440">
        <v>8.56</v>
      </c>
      <c r="F20" s="441"/>
      <c r="G20" s="442">
        <v>9.44</v>
      </c>
      <c r="H20" s="439"/>
      <c r="I20" s="443">
        <v>10.16</v>
      </c>
      <c r="J20" s="441"/>
      <c r="K20" s="442">
        <v>10.9</v>
      </c>
      <c r="L20" s="439"/>
      <c r="M20" s="443">
        <v>11.72</v>
      </c>
      <c r="N20" s="441"/>
      <c r="O20" s="444"/>
      <c r="P20" s="449"/>
      <c r="Q20" s="445"/>
      <c r="R20" s="446">
        <f t="shared" si="0"/>
        <v>0</v>
      </c>
    </row>
    <row r="21" spans="2:18" ht="15" customHeight="1" x14ac:dyDescent="0.2">
      <c r="B21" s="437" t="s">
        <v>396</v>
      </c>
      <c r="C21" s="438">
        <v>25</v>
      </c>
      <c r="D21" s="439"/>
      <c r="E21" s="440">
        <v>25</v>
      </c>
      <c r="F21" s="441"/>
      <c r="G21" s="442">
        <v>28</v>
      </c>
      <c r="H21" s="439"/>
      <c r="I21" s="443">
        <v>28</v>
      </c>
      <c r="J21" s="441"/>
      <c r="K21" s="442">
        <v>30</v>
      </c>
      <c r="L21" s="439"/>
      <c r="M21" s="443">
        <v>32</v>
      </c>
      <c r="N21" s="441"/>
      <c r="O21" s="444"/>
      <c r="P21" s="449"/>
      <c r="Q21" s="445"/>
      <c r="R21" s="446">
        <f t="shared" si="0"/>
        <v>0</v>
      </c>
    </row>
    <row r="22" spans="2:18" ht="15" customHeight="1" x14ac:dyDescent="0.2">
      <c r="B22" s="437" t="s">
        <v>390</v>
      </c>
      <c r="C22" s="438">
        <v>32.25</v>
      </c>
      <c r="D22" s="439"/>
      <c r="E22" s="440">
        <v>35.4</v>
      </c>
      <c r="F22" s="441"/>
      <c r="G22" s="442">
        <v>40.159999999999997</v>
      </c>
      <c r="H22" s="439"/>
      <c r="I22" s="443">
        <v>45.11</v>
      </c>
      <c r="J22" s="441"/>
      <c r="K22" s="442">
        <v>48.76</v>
      </c>
      <c r="L22" s="439"/>
      <c r="M22" s="443">
        <v>53.19</v>
      </c>
      <c r="N22" s="441"/>
      <c r="O22" s="444"/>
      <c r="P22" s="449"/>
      <c r="Q22" s="445"/>
      <c r="R22" s="446">
        <f t="shared" si="0"/>
        <v>0</v>
      </c>
    </row>
    <row r="23" spans="2:18" ht="15" customHeight="1" x14ac:dyDescent="0.2">
      <c r="B23" s="447"/>
      <c r="C23" s="448"/>
      <c r="D23" s="449"/>
      <c r="E23" s="449"/>
      <c r="F23" s="449"/>
      <c r="G23" s="449"/>
      <c r="H23" s="449"/>
      <c r="I23" s="449"/>
      <c r="J23" s="449"/>
      <c r="K23" s="449"/>
      <c r="L23" s="449"/>
      <c r="M23" s="449"/>
      <c r="N23" s="449"/>
      <c r="O23" s="444"/>
      <c r="P23" s="449"/>
      <c r="Q23" s="526" t="s">
        <v>397</v>
      </c>
      <c r="R23" s="446">
        <f>SUM(R7:R22)</f>
        <v>0</v>
      </c>
    </row>
    <row r="24" spans="2:18" ht="15" customHeight="1" x14ac:dyDescent="0.2">
      <c r="B24" s="450" t="s">
        <v>421</v>
      </c>
      <c r="C24" s="451"/>
      <c r="D24" s="452"/>
      <c r="E24" s="452"/>
      <c r="F24" s="452"/>
      <c r="G24" s="452"/>
      <c r="H24" s="452"/>
      <c r="I24" s="452"/>
      <c r="J24" s="452"/>
      <c r="K24" s="452"/>
      <c r="L24" s="452"/>
      <c r="M24" s="452"/>
      <c r="N24" s="452"/>
      <c r="O24" s="453"/>
      <c r="P24" s="452"/>
      <c r="Q24" s="454">
        <v>0.15</v>
      </c>
      <c r="R24" s="455">
        <f>SUM(R23*0.15)</f>
        <v>0</v>
      </c>
    </row>
    <row r="25" spans="2:18" ht="16" customHeight="1" thickBot="1" x14ac:dyDescent="0.25">
      <c r="B25" s="456"/>
      <c r="C25" s="457"/>
      <c r="D25" s="458"/>
      <c r="E25" s="458"/>
      <c r="F25" s="458"/>
      <c r="G25" s="458"/>
      <c r="H25" s="458"/>
      <c r="I25" s="458"/>
      <c r="J25" s="458"/>
      <c r="K25" s="458"/>
      <c r="L25" s="458"/>
      <c r="M25" s="458"/>
      <c r="N25" s="458"/>
      <c r="O25" s="459"/>
      <c r="P25" s="458"/>
      <c r="Q25" s="460" t="s">
        <v>369</v>
      </c>
      <c r="R25" s="461">
        <f>SUM(R23+R24)</f>
        <v>0</v>
      </c>
    </row>
    <row r="27" spans="2:18" ht="14" customHeight="1" thickBot="1" x14ac:dyDescent="0.2"/>
    <row r="28" spans="2:18" ht="15" customHeight="1" x14ac:dyDescent="0.2">
      <c r="C28" s="417" t="s">
        <v>374</v>
      </c>
      <c r="D28" s="418" t="s">
        <v>375</v>
      </c>
      <c r="E28" s="418" t="s">
        <v>374</v>
      </c>
      <c r="F28" s="418" t="s">
        <v>375</v>
      </c>
      <c r="G28" s="418" t="s">
        <v>374</v>
      </c>
      <c r="H28" s="418" t="s">
        <v>375</v>
      </c>
      <c r="I28" s="418" t="s">
        <v>374</v>
      </c>
      <c r="J28" s="418" t="s">
        <v>375</v>
      </c>
      <c r="K28" s="418" t="s">
        <v>374</v>
      </c>
      <c r="L28" s="418" t="s">
        <v>375</v>
      </c>
      <c r="M28" s="418" t="s">
        <v>374</v>
      </c>
      <c r="N28" s="462" t="s">
        <v>375</v>
      </c>
      <c r="O28" s="418"/>
      <c r="P28" s="418"/>
      <c r="Q28" s="419"/>
      <c r="R28" s="420" t="s">
        <v>45</v>
      </c>
    </row>
    <row r="29" spans="2:18" ht="16" customHeight="1" thickBot="1" x14ac:dyDescent="0.25">
      <c r="C29" s="421" t="s">
        <v>422</v>
      </c>
      <c r="D29" s="422"/>
      <c r="E29" s="423" t="s">
        <v>423</v>
      </c>
      <c r="F29" s="422"/>
      <c r="G29" s="424" t="s">
        <v>424</v>
      </c>
      <c r="H29" s="422"/>
      <c r="I29" s="423" t="s">
        <v>425</v>
      </c>
      <c r="J29" s="422"/>
      <c r="K29" s="424" t="s">
        <v>426</v>
      </c>
      <c r="L29" s="422"/>
      <c r="M29" s="423" t="s">
        <v>427</v>
      </c>
      <c r="N29" s="463"/>
      <c r="O29" s="425"/>
      <c r="P29" s="422"/>
      <c r="Q29" s="426"/>
      <c r="R29" s="427"/>
    </row>
    <row r="30" spans="2:18" ht="15" customHeight="1" x14ac:dyDescent="0.2">
      <c r="B30" s="428" t="s">
        <v>387</v>
      </c>
      <c r="C30" s="429">
        <v>28.86</v>
      </c>
      <c r="D30" s="430"/>
      <c r="E30" s="431">
        <v>31.04</v>
      </c>
      <c r="F30" s="432"/>
      <c r="G30" s="433">
        <v>33.299999999999997</v>
      </c>
      <c r="H30" s="430"/>
      <c r="I30" s="434">
        <v>35.83</v>
      </c>
      <c r="J30" s="432"/>
      <c r="K30" s="433">
        <v>38.44</v>
      </c>
      <c r="L30" s="430"/>
      <c r="M30" s="434">
        <v>41.36</v>
      </c>
      <c r="N30" s="432"/>
      <c r="O30" s="435"/>
      <c r="P30" s="525"/>
      <c r="Q30" s="419"/>
      <c r="R30" s="436">
        <f t="shared" ref="R30:R45" si="1">SUM(C30*D30+E30*F30+G30*H30+I30*J30+K30*L30+M30*+N30+O30*P30)</f>
        <v>0</v>
      </c>
    </row>
    <row r="31" spans="2:18" ht="15" customHeight="1" x14ac:dyDescent="0.2">
      <c r="B31" s="437" t="s">
        <v>410</v>
      </c>
      <c r="C31" s="438">
        <v>73.89</v>
      </c>
      <c r="D31" s="439"/>
      <c r="E31" s="440">
        <v>79.78</v>
      </c>
      <c r="F31" s="441"/>
      <c r="G31" s="442">
        <v>86.23</v>
      </c>
      <c r="H31" s="439"/>
      <c r="I31" s="443">
        <v>93.12</v>
      </c>
      <c r="J31" s="441"/>
      <c r="K31" s="442">
        <v>100.65</v>
      </c>
      <c r="L31" s="439"/>
      <c r="M31" s="443">
        <v>108.68</v>
      </c>
      <c r="N31" s="441"/>
      <c r="O31" s="444"/>
      <c r="P31" s="449"/>
      <c r="Q31" s="445"/>
      <c r="R31" s="446">
        <f t="shared" si="1"/>
        <v>0</v>
      </c>
    </row>
    <row r="32" spans="2:18" ht="15" customHeight="1" x14ac:dyDescent="0.2">
      <c r="B32" s="437" t="s">
        <v>384</v>
      </c>
      <c r="C32" s="438">
        <v>98.32</v>
      </c>
      <c r="D32" s="439"/>
      <c r="E32" s="440">
        <v>106</v>
      </c>
      <c r="F32" s="441"/>
      <c r="G32" s="442">
        <v>114.28</v>
      </c>
      <c r="H32" s="439"/>
      <c r="I32" s="443">
        <v>123.21</v>
      </c>
      <c r="J32" s="441"/>
      <c r="K32" s="442">
        <v>132.84</v>
      </c>
      <c r="L32" s="439"/>
      <c r="M32" s="443">
        <v>143.22</v>
      </c>
      <c r="N32" s="441"/>
      <c r="O32" s="444"/>
      <c r="P32" s="449"/>
      <c r="Q32" s="445"/>
      <c r="R32" s="446">
        <f t="shared" si="1"/>
        <v>0</v>
      </c>
    </row>
    <row r="33" spans="2:18" ht="15" customHeight="1" x14ac:dyDescent="0.2">
      <c r="B33" s="437" t="s">
        <v>385</v>
      </c>
      <c r="C33" s="438">
        <v>67.31</v>
      </c>
      <c r="D33" s="439"/>
      <c r="E33" s="440">
        <v>72.55</v>
      </c>
      <c r="F33" s="441"/>
      <c r="G33" s="442">
        <v>78.34</v>
      </c>
      <c r="H33" s="439"/>
      <c r="I33" s="443">
        <v>84.44</v>
      </c>
      <c r="J33" s="441"/>
      <c r="K33" s="442">
        <v>91.19</v>
      </c>
      <c r="L33" s="439"/>
      <c r="M33" s="443">
        <v>98.28</v>
      </c>
      <c r="N33" s="441"/>
      <c r="O33" s="444"/>
      <c r="P33" s="449"/>
      <c r="Q33" s="445"/>
      <c r="R33" s="446">
        <f t="shared" si="1"/>
        <v>0</v>
      </c>
    </row>
    <row r="34" spans="2:18" ht="15" customHeight="1" x14ac:dyDescent="0.2">
      <c r="B34" s="437" t="s">
        <v>411</v>
      </c>
      <c r="C34" s="438">
        <v>89.6</v>
      </c>
      <c r="D34" s="439"/>
      <c r="E34" s="440">
        <v>97.29</v>
      </c>
      <c r="F34" s="441"/>
      <c r="G34" s="442">
        <v>106.13</v>
      </c>
      <c r="H34" s="439"/>
      <c r="I34" s="443">
        <v>115.24</v>
      </c>
      <c r="J34" s="441"/>
      <c r="K34" s="442">
        <v>125.71</v>
      </c>
      <c r="L34" s="439"/>
      <c r="M34" s="443">
        <v>136.5</v>
      </c>
      <c r="N34" s="441"/>
      <c r="O34" s="444"/>
      <c r="P34" s="449"/>
      <c r="Q34" s="445"/>
      <c r="R34" s="446">
        <f t="shared" si="1"/>
        <v>0</v>
      </c>
    </row>
    <row r="35" spans="2:18" ht="15" customHeight="1" x14ac:dyDescent="0.2">
      <c r="B35" s="437" t="s">
        <v>412</v>
      </c>
      <c r="C35" s="438">
        <v>151.19999999999999</v>
      </c>
      <c r="D35" s="439"/>
      <c r="E35" s="440">
        <v>163.02000000000001</v>
      </c>
      <c r="F35" s="441"/>
      <c r="G35" s="442">
        <v>175.76</v>
      </c>
      <c r="H35" s="439"/>
      <c r="I35" s="443">
        <v>189.49</v>
      </c>
      <c r="J35" s="441"/>
      <c r="K35" s="523">
        <v>204.29</v>
      </c>
      <c r="L35" s="439"/>
      <c r="M35" s="443">
        <v>220.26</v>
      </c>
      <c r="N35" s="441"/>
      <c r="O35" s="444"/>
      <c r="P35" s="449"/>
      <c r="Q35" s="445"/>
      <c r="R35" s="446">
        <f t="shared" si="1"/>
        <v>0</v>
      </c>
    </row>
    <row r="36" spans="2:18" ht="15" customHeight="1" x14ac:dyDescent="0.2">
      <c r="B36" s="437" t="s">
        <v>413</v>
      </c>
      <c r="C36" s="438">
        <v>101.94</v>
      </c>
      <c r="D36" s="439"/>
      <c r="E36" s="440">
        <v>110.69</v>
      </c>
      <c r="F36" s="441"/>
      <c r="G36" s="442">
        <v>119.64</v>
      </c>
      <c r="H36" s="439"/>
      <c r="I36" s="443">
        <v>129.91</v>
      </c>
      <c r="J36" s="441"/>
      <c r="K36" s="442">
        <v>140.41</v>
      </c>
      <c r="L36" s="439"/>
      <c r="M36" s="443">
        <v>152.46</v>
      </c>
      <c r="N36" s="441"/>
      <c r="O36" s="444"/>
      <c r="P36" s="449"/>
      <c r="Q36" s="445"/>
      <c r="R36" s="446">
        <f t="shared" si="1"/>
        <v>0</v>
      </c>
    </row>
    <row r="37" spans="2:18" ht="15" customHeight="1" x14ac:dyDescent="0.2">
      <c r="B37" s="437" t="s">
        <v>414</v>
      </c>
      <c r="C37" s="438">
        <v>83.39</v>
      </c>
      <c r="D37" s="439"/>
      <c r="E37" s="440">
        <v>90.05</v>
      </c>
      <c r="F37" s="441"/>
      <c r="G37" s="442">
        <v>97.33</v>
      </c>
      <c r="H37" s="439"/>
      <c r="I37" s="443">
        <v>105.1</v>
      </c>
      <c r="J37" s="441"/>
      <c r="K37" s="442">
        <v>113.6</v>
      </c>
      <c r="L37" s="439"/>
      <c r="M37" s="443">
        <v>122.67</v>
      </c>
      <c r="N37" s="441"/>
      <c r="O37" s="444"/>
      <c r="P37" s="449"/>
      <c r="Q37" s="445"/>
      <c r="R37" s="446">
        <f t="shared" si="1"/>
        <v>0</v>
      </c>
    </row>
    <row r="38" spans="2:18" ht="15" customHeight="1" x14ac:dyDescent="0.2">
      <c r="B38" s="437" t="s">
        <v>415</v>
      </c>
      <c r="C38" s="438">
        <v>83.39</v>
      </c>
      <c r="D38" s="439"/>
      <c r="E38" s="440">
        <v>90.05</v>
      </c>
      <c r="F38" s="441"/>
      <c r="G38" s="442">
        <v>97.33</v>
      </c>
      <c r="H38" s="439"/>
      <c r="I38" s="443">
        <v>105.1</v>
      </c>
      <c r="J38" s="441"/>
      <c r="K38" s="442">
        <v>113.6</v>
      </c>
      <c r="L38" s="439"/>
      <c r="M38" s="443">
        <v>122.67</v>
      </c>
      <c r="N38" s="441"/>
      <c r="O38" s="444"/>
      <c r="P38" s="449"/>
      <c r="Q38" s="445"/>
      <c r="R38" s="446">
        <f t="shared" si="1"/>
        <v>0</v>
      </c>
    </row>
    <row r="39" spans="2:18" ht="15" customHeight="1" x14ac:dyDescent="0.2">
      <c r="B39" s="437" t="s">
        <v>416</v>
      </c>
      <c r="C39" s="438">
        <v>77.569999999999993</v>
      </c>
      <c r="D39" s="439"/>
      <c r="E39" s="524">
        <v>83.61</v>
      </c>
      <c r="F39" s="441"/>
      <c r="G39" s="442">
        <v>90.28</v>
      </c>
      <c r="H39" s="439"/>
      <c r="I39" s="443">
        <v>97.31</v>
      </c>
      <c r="J39" s="441"/>
      <c r="K39" s="442">
        <v>105.08</v>
      </c>
      <c r="L39" s="439"/>
      <c r="M39" s="443">
        <v>113.26</v>
      </c>
      <c r="N39" s="441"/>
      <c r="O39" s="444"/>
      <c r="P39" s="449"/>
      <c r="Q39" s="445"/>
      <c r="R39" s="446">
        <f t="shared" si="1"/>
        <v>0</v>
      </c>
    </row>
    <row r="40" spans="2:18" ht="15" customHeight="1" x14ac:dyDescent="0.2">
      <c r="B40" s="437" t="s">
        <v>417</v>
      </c>
      <c r="C40" s="438">
        <v>47.28</v>
      </c>
      <c r="D40" s="439"/>
      <c r="E40" s="440">
        <v>50.86</v>
      </c>
      <c r="F40" s="441"/>
      <c r="G40" s="442">
        <v>54.57</v>
      </c>
      <c r="H40" s="439"/>
      <c r="I40" s="443">
        <v>58.71</v>
      </c>
      <c r="J40" s="441"/>
      <c r="K40" s="442">
        <v>62.98</v>
      </c>
      <c r="L40" s="439"/>
      <c r="M40" s="443">
        <v>67.760000000000005</v>
      </c>
      <c r="N40" s="441"/>
      <c r="O40" s="444"/>
      <c r="P40" s="449"/>
      <c r="Q40" s="445"/>
      <c r="R40" s="446">
        <f t="shared" si="1"/>
        <v>0</v>
      </c>
    </row>
    <row r="41" spans="2:18" ht="15" customHeight="1" x14ac:dyDescent="0.2">
      <c r="B41" s="437" t="s">
        <v>418</v>
      </c>
      <c r="C41" s="438">
        <v>10.53</v>
      </c>
      <c r="D41" s="439"/>
      <c r="E41" s="440">
        <v>11.48</v>
      </c>
      <c r="F41" s="441"/>
      <c r="G41" s="442">
        <v>12.52</v>
      </c>
      <c r="H41" s="439"/>
      <c r="I41" s="443">
        <v>13.64</v>
      </c>
      <c r="J41" s="441"/>
      <c r="K41" s="442">
        <v>14.88</v>
      </c>
      <c r="L41" s="439"/>
      <c r="M41" s="443">
        <v>16.22</v>
      </c>
      <c r="N41" s="441"/>
      <c r="O41" s="444"/>
      <c r="P41" s="449"/>
      <c r="Q41" s="445"/>
      <c r="R41" s="446">
        <f t="shared" si="1"/>
        <v>0</v>
      </c>
    </row>
    <row r="42" spans="2:18" ht="15" customHeight="1" x14ac:dyDescent="0.2">
      <c r="B42" s="437" t="s">
        <v>419</v>
      </c>
      <c r="C42" s="438">
        <v>37.799999999999997</v>
      </c>
      <c r="D42" s="439"/>
      <c r="E42" s="440">
        <v>40.82</v>
      </c>
      <c r="F42" s="441"/>
      <c r="G42" s="442">
        <v>44.12</v>
      </c>
      <c r="H42" s="439"/>
      <c r="I42" s="443">
        <v>47.64</v>
      </c>
      <c r="J42" s="441"/>
      <c r="K42" s="442">
        <v>51.49</v>
      </c>
      <c r="L42" s="439"/>
      <c r="M42" s="443">
        <v>55.6</v>
      </c>
      <c r="N42" s="441"/>
      <c r="O42" s="444"/>
      <c r="P42" s="449"/>
      <c r="Q42" s="445"/>
      <c r="R42" s="446">
        <f t="shared" si="1"/>
        <v>0</v>
      </c>
    </row>
    <row r="43" spans="2:18" ht="15" customHeight="1" x14ac:dyDescent="0.2">
      <c r="B43" s="437" t="s">
        <v>420</v>
      </c>
      <c r="C43" s="438">
        <v>12.58</v>
      </c>
      <c r="D43" s="439"/>
      <c r="E43" s="440">
        <v>13.53</v>
      </c>
      <c r="F43" s="441"/>
      <c r="G43" s="442">
        <v>14.52</v>
      </c>
      <c r="H43" s="439"/>
      <c r="I43" s="443">
        <v>15.62</v>
      </c>
      <c r="J43" s="441"/>
      <c r="K43" s="442">
        <v>16.75</v>
      </c>
      <c r="L43" s="439"/>
      <c r="M43" s="443">
        <v>18.02</v>
      </c>
      <c r="N43" s="441"/>
      <c r="O43" s="444"/>
      <c r="P43" s="449"/>
      <c r="Q43" s="445"/>
      <c r="R43" s="446">
        <f t="shared" si="1"/>
        <v>0</v>
      </c>
    </row>
    <row r="44" spans="2:18" ht="15" customHeight="1" x14ac:dyDescent="0.2">
      <c r="B44" s="437" t="s">
        <v>396</v>
      </c>
      <c r="C44" s="438">
        <v>35</v>
      </c>
      <c r="D44" s="439"/>
      <c r="E44" s="440">
        <v>48</v>
      </c>
      <c r="F44" s="441"/>
      <c r="G44" s="442">
        <v>48</v>
      </c>
      <c r="H44" s="439"/>
      <c r="I44" s="443">
        <v>48</v>
      </c>
      <c r="J44" s="441"/>
      <c r="K44" s="442">
        <v>48</v>
      </c>
      <c r="L44" s="439"/>
      <c r="M44" s="443">
        <v>48</v>
      </c>
      <c r="N44" s="441"/>
      <c r="O44" s="444"/>
      <c r="P44" s="449"/>
      <c r="Q44" s="445"/>
      <c r="R44" s="446">
        <f t="shared" si="1"/>
        <v>0</v>
      </c>
    </row>
    <row r="45" spans="2:18" ht="15" customHeight="1" x14ac:dyDescent="0.2">
      <c r="B45" s="437" t="s">
        <v>390</v>
      </c>
      <c r="C45" s="438">
        <v>58.52</v>
      </c>
      <c r="D45" s="439"/>
      <c r="E45" s="440">
        <v>62.94</v>
      </c>
      <c r="F45" s="441"/>
      <c r="G45" s="442">
        <v>71.89</v>
      </c>
      <c r="H45" s="439"/>
      <c r="I45" s="443">
        <v>77.38</v>
      </c>
      <c r="J45" s="441"/>
      <c r="K45" s="442">
        <v>84.03</v>
      </c>
      <c r="L45" s="439"/>
      <c r="M45" s="443">
        <v>89.84</v>
      </c>
      <c r="N45" s="441"/>
      <c r="O45" s="444"/>
      <c r="P45" s="449"/>
      <c r="Q45" s="445"/>
      <c r="R45" s="446">
        <f t="shared" si="1"/>
        <v>0</v>
      </c>
    </row>
    <row r="46" spans="2:18" ht="15" customHeight="1" x14ac:dyDescent="0.2">
      <c r="B46" s="437"/>
      <c r="C46" s="464"/>
      <c r="D46" s="449"/>
      <c r="E46" s="465"/>
      <c r="F46" s="449"/>
      <c r="G46" s="466"/>
      <c r="H46" s="449"/>
      <c r="I46" s="466"/>
      <c r="J46" s="449"/>
      <c r="K46" s="466"/>
      <c r="L46" s="449"/>
      <c r="M46" s="466"/>
      <c r="N46" s="449"/>
      <c r="O46" s="444"/>
      <c r="P46" s="449"/>
      <c r="Q46" s="527" t="s">
        <v>397</v>
      </c>
      <c r="R46" s="455">
        <f>SUM(R30:R45)</f>
        <v>0</v>
      </c>
    </row>
    <row r="47" spans="2:18" ht="15" customHeight="1" x14ac:dyDescent="0.2">
      <c r="B47" s="437" t="s">
        <v>428</v>
      </c>
      <c r="C47" s="448"/>
      <c r="D47" s="449"/>
      <c r="E47" s="449"/>
      <c r="F47" s="449"/>
      <c r="G47" s="449"/>
      <c r="H47" s="449"/>
      <c r="I47" s="449"/>
      <c r="J47" s="449"/>
      <c r="K47" s="449"/>
      <c r="L47" s="449"/>
      <c r="M47" s="449"/>
      <c r="N47" s="449"/>
      <c r="O47" s="444"/>
      <c r="P47" s="449"/>
      <c r="Q47" s="454">
        <v>0.15</v>
      </c>
      <c r="R47" s="455">
        <f>SUM(R46*0.15)</f>
        <v>0</v>
      </c>
    </row>
    <row r="48" spans="2:18" ht="16" customHeight="1" thickBot="1" x14ac:dyDescent="0.25">
      <c r="B48" s="456"/>
      <c r="C48" s="457"/>
      <c r="D48" s="458"/>
      <c r="E48" s="458"/>
      <c r="F48" s="458"/>
      <c r="G48" s="458"/>
      <c r="H48" s="458"/>
      <c r="I48" s="458"/>
      <c r="J48" s="458"/>
      <c r="K48" s="458"/>
      <c r="L48" s="458"/>
      <c r="M48" s="458"/>
      <c r="N48" s="458"/>
      <c r="O48" s="459"/>
      <c r="P48" s="458"/>
      <c r="Q48" s="460" t="s">
        <v>369</v>
      </c>
      <c r="R48" s="461">
        <f>SUM(R46+R47)</f>
        <v>0</v>
      </c>
    </row>
    <row r="50" spans="2:18" ht="14" customHeight="1" thickBot="1" x14ac:dyDescent="0.2"/>
    <row r="51" spans="2:18" ht="15" customHeight="1" x14ac:dyDescent="0.2">
      <c r="C51" s="417" t="s">
        <v>374</v>
      </c>
      <c r="D51" s="418" t="s">
        <v>375</v>
      </c>
      <c r="E51" s="418" t="s">
        <v>374</v>
      </c>
      <c r="F51" s="418" t="s">
        <v>375</v>
      </c>
      <c r="G51" s="418" t="s">
        <v>374</v>
      </c>
      <c r="H51" s="418" t="s">
        <v>375</v>
      </c>
      <c r="I51" s="418" t="s">
        <v>374</v>
      </c>
      <c r="J51" s="418" t="s">
        <v>375</v>
      </c>
      <c r="K51" s="418" t="s">
        <v>374</v>
      </c>
      <c r="L51" s="418" t="s">
        <v>375</v>
      </c>
      <c r="M51" s="418" t="s">
        <v>374</v>
      </c>
      <c r="N51" s="418" t="s">
        <v>375</v>
      </c>
      <c r="O51" s="418" t="s">
        <v>374</v>
      </c>
      <c r="P51" s="418" t="s">
        <v>375</v>
      </c>
      <c r="Q51" s="419"/>
      <c r="R51" s="420" t="s">
        <v>45</v>
      </c>
    </row>
    <row r="52" spans="2:18" ht="16" customHeight="1" thickBot="1" x14ac:dyDescent="0.25">
      <c r="C52" s="421" t="s">
        <v>429</v>
      </c>
      <c r="D52" s="422"/>
      <c r="E52" s="423" t="s">
        <v>430</v>
      </c>
      <c r="F52" s="422"/>
      <c r="G52" s="424" t="s">
        <v>431</v>
      </c>
      <c r="H52" s="422"/>
      <c r="I52" s="423" t="s">
        <v>432</v>
      </c>
      <c r="J52" s="422"/>
      <c r="K52" s="424" t="s">
        <v>433</v>
      </c>
      <c r="L52" s="422"/>
      <c r="M52" s="423" t="s">
        <v>434</v>
      </c>
      <c r="N52" s="422"/>
      <c r="O52" s="424" t="s">
        <v>435</v>
      </c>
      <c r="P52" s="422"/>
      <c r="Q52" s="426"/>
      <c r="R52" s="427"/>
    </row>
    <row r="53" spans="2:18" ht="15" customHeight="1" x14ac:dyDescent="0.2">
      <c r="B53" s="428" t="s">
        <v>387</v>
      </c>
      <c r="C53" s="429">
        <v>45.2</v>
      </c>
      <c r="D53" s="430"/>
      <c r="E53" s="431">
        <v>48.62</v>
      </c>
      <c r="F53" s="432"/>
      <c r="G53" s="433">
        <v>52.16</v>
      </c>
      <c r="H53" s="430"/>
      <c r="I53" s="434">
        <v>56.12</v>
      </c>
      <c r="J53" s="432"/>
      <c r="K53" s="433">
        <v>61.33</v>
      </c>
      <c r="L53" s="430"/>
      <c r="M53" s="434">
        <v>65.98</v>
      </c>
      <c r="N53" s="432"/>
      <c r="O53" s="467">
        <v>70.790000000000006</v>
      </c>
      <c r="P53" s="430"/>
      <c r="Q53" s="419"/>
      <c r="R53" s="436">
        <f t="shared" ref="R53:R68" si="2">SUM(C53*D53+E53*F53+G53*H53+I53*J53+K53*L53+M53*+N53+O53*P53)</f>
        <v>0</v>
      </c>
    </row>
    <row r="54" spans="2:18" ht="15" customHeight="1" x14ac:dyDescent="0.2">
      <c r="B54" s="437" t="s">
        <v>410</v>
      </c>
      <c r="C54" s="438">
        <v>118.56</v>
      </c>
      <c r="D54" s="439"/>
      <c r="E54" s="440">
        <v>128.02000000000001</v>
      </c>
      <c r="F54" s="441"/>
      <c r="G54" s="442">
        <v>138.37</v>
      </c>
      <c r="H54" s="439"/>
      <c r="I54" s="443">
        <v>149.41999999999999</v>
      </c>
      <c r="J54" s="441"/>
      <c r="K54" s="442">
        <v>162.99</v>
      </c>
      <c r="L54" s="439"/>
      <c r="M54" s="443">
        <v>176</v>
      </c>
      <c r="N54" s="441"/>
      <c r="O54" s="468">
        <v>190.23</v>
      </c>
      <c r="P54" s="439"/>
      <c r="Q54" s="445"/>
      <c r="R54" s="446">
        <f t="shared" si="2"/>
        <v>0</v>
      </c>
    </row>
    <row r="55" spans="2:18" ht="15" customHeight="1" x14ac:dyDescent="0.2">
      <c r="B55" s="437" t="s">
        <v>384</v>
      </c>
      <c r="C55" s="438">
        <v>168.41</v>
      </c>
      <c r="D55" s="439"/>
      <c r="E55" s="440">
        <v>181.57</v>
      </c>
      <c r="F55" s="441"/>
      <c r="G55" s="442">
        <v>195.76</v>
      </c>
      <c r="H55" s="439"/>
      <c r="I55" s="443">
        <v>211.05</v>
      </c>
      <c r="J55" s="441"/>
      <c r="K55" s="442">
        <v>227.54</v>
      </c>
      <c r="L55" s="439"/>
      <c r="M55" s="443">
        <v>245.32</v>
      </c>
      <c r="N55" s="441"/>
      <c r="O55" s="468">
        <v>264.49</v>
      </c>
      <c r="P55" s="439"/>
      <c r="Q55" s="445"/>
      <c r="R55" s="446">
        <f t="shared" si="2"/>
        <v>0</v>
      </c>
    </row>
    <row r="56" spans="2:18" ht="15" customHeight="1" x14ac:dyDescent="0.2">
      <c r="B56" s="437" t="s">
        <v>385</v>
      </c>
      <c r="C56" s="438">
        <v>107.11</v>
      </c>
      <c r="D56" s="439"/>
      <c r="E56" s="440">
        <v>115.45</v>
      </c>
      <c r="F56" s="441"/>
      <c r="G56" s="442">
        <v>124.67</v>
      </c>
      <c r="H56" s="439"/>
      <c r="I56" s="443">
        <v>134.37</v>
      </c>
      <c r="J56" s="441"/>
      <c r="K56" s="442">
        <v>146.44</v>
      </c>
      <c r="L56" s="439"/>
      <c r="M56" s="443">
        <v>157.84</v>
      </c>
      <c r="N56" s="441"/>
      <c r="O56" s="468">
        <v>170.45</v>
      </c>
      <c r="P56" s="439"/>
      <c r="Q56" s="445"/>
      <c r="R56" s="446">
        <f t="shared" si="2"/>
        <v>0</v>
      </c>
    </row>
    <row r="57" spans="2:18" ht="15" customHeight="1" x14ac:dyDescent="0.2">
      <c r="B57" s="437" t="s">
        <v>411</v>
      </c>
      <c r="C57" s="438">
        <v>148.9</v>
      </c>
      <c r="D57" s="439"/>
      <c r="E57" s="440">
        <v>161.68</v>
      </c>
      <c r="F57" s="441"/>
      <c r="G57" s="442">
        <v>174.75</v>
      </c>
      <c r="H57" s="439"/>
      <c r="I57" s="443">
        <v>189.75</v>
      </c>
      <c r="J57" s="441"/>
      <c r="K57" s="442">
        <v>206.99</v>
      </c>
      <c r="L57" s="439"/>
      <c r="M57" s="443">
        <v>224.76</v>
      </c>
      <c r="N57" s="441"/>
      <c r="O57" s="468">
        <v>242.93</v>
      </c>
      <c r="P57" s="439"/>
      <c r="Q57" s="445"/>
      <c r="R57" s="446">
        <f t="shared" si="2"/>
        <v>0</v>
      </c>
    </row>
    <row r="58" spans="2:18" ht="15" customHeight="1" x14ac:dyDescent="0.2">
      <c r="B58" s="437" t="s">
        <v>412</v>
      </c>
      <c r="C58" s="438">
        <v>244.13</v>
      </c>
      <c r="D58" s="439"/>
      <c r="E58" s="440">
        <v>263.20999999999998</v>
      </c>
      <c r="F58" s="441"/>
      <c r="G58" s="442">
        <v>283.77</v>
      </c>
      <c r="H58" s="439"/>
      <c r="I58" s="443">
        <v>305.94</v>
      </c>
      <c r="J58" s="441"/>
      <c r="K58" s="442">
        <v>329.85</v>
      </c>
      <c r="L58" s="439"/>
      <c r="M58" s="443">
        <v>355.62</v>
      </c>
      <c r="N58" s="441"/>
      <c r="O58" s="468">
        <v>383.41</v>
      </c>
      <c r="P58" s="439"/>
      <c r="Q58" s="445"/>
      <c r="R58" s="446">
        <f t="shared" si="2"/>
        <v>0</v>
      </c>
    </row>
    <row r="59" spans="2:18" ht="15" customHeight="1" x14ac:dyDescent="0.2">
      <c r="B59" s="437" t="s">
        <v>413</v>
      </c>
      <c r="C59" s="438">
        <v>166.31</v>
      </c>
      <c r="D59" s="439"/>
      <c r="E59" s="440">
        <v>180.59</v>
      </c>
      <c r="F59" s="441"/>
      <c r="G59" s="442">
        <v>195.18</v>
      </c>
      <c r="H59" s="439"/>
      <c r="I59" s="443">
        <v>211.94</v>
      </c>
      <c r="J59" s="441"/>
      <c r="K59" s="442">
        <v>231.19</v>
      </c>
      <c r="L59" s="439"/>
      <c r="M59" s="443">
        <v>251.04</v>
      </c>
      <c r="N59" s="441"/>
      <c r="O59" s="468">
        <v>271.33</v>
      </c>
      <c r="P59" s="439"/>
      <c r="Q59" s="445"/>
      <c r="R59" s="446">
        <f t="shared" si="2"/>
        <v>0</v>
      </c>
    </row>
    <row r="60" spans="2:18" ht="15" customHeight="1" x14ac:dyDescent="0.2">
      <c r="B60" s="437" t="s">
        <v>414</v>
      </c>
      <c r="C60" s="438">
        <v>132.59</v>
      </c>
      <c r="D60" s="439"/>
      <c r="E60" s="440">
        <v>143.16999999999999</v>
      </c>
      <c r="F60" s="441"/>
      <c r="G60" s="442">
        <v>154.75</v>
      </c>
      <c r="H60" s="439"/>
      <c r="I60" s="443">
        <v>167.1</v>
      </c>
      <c r="J60" s="441"/>
      <c r="K60" s="442">
        <v>180.61</v>
      </c>
      <c r="L60" s="439"/>
      <c r="M60" s="443">
        <v>195.03</v>
      </c>
      <c r="N60" s="441"/>
      <c r="O60" s="468">
        <v>210.79</v>
      </c>
      <c r="P60" s="439"/>
      <c r="Q60" s="445"/>
      <c r="R60" s="446">
        <f t="shared" si="2"/>
        <v>0</v>
      </c>
    </row>
    <row r="61" spans="2:18" ht="15" customHeight="1" x14ac:dyDescent="0.2">
      <c r="B61" s="437" t="s">
        <v>415</v>
      </c>
      <c r="C61" s="438">
        <v>132.59</v>
      </c>
      <c r="D61" s="439"/>
      <c r="E61" s="440">
        <v>143.16999999999999</v>
      </c>
      <c r="F61" s="441"/>
      <c r="G61" s="442">
        <v>154.75</v>
      </c>
      <c r="H61" s="439"/>
      <c r="I61" s="443">
        <v>167.1</v>
      </c>
      <c r="J61" s="441"/>
      <c r="K61" s="442">
        <v>180.61</v>
      </c>
      <c r="L61" s="439"/>
      <c r="M61" s="443">
        <v>195.03</v>
      </c>
      <c r="N61" s="441"/>
      <c r="O61" s="468">
        <v>210.79</v>
      </c>
      <c r="P61" s="439"/>
      <c r="Q61" s="445"/>
      <c r="R61" s="446">
        <f t="shared" si="2"/>
        <v>0</v>
      </c>
    </row>
    <row r="62" spans="2:18" ht="15" customHeight="1" x14ac:dyDescent="0.2">
      <c r="B62" s="437" t="s">
        <v>416</v>
      </c>
      <c r="C62" s="438">
        <v>122.3</v>
      </c>
      <c r="D62" s="439"/>
      <c r="E62" s="440">
        <v>131.82</v>
      </c>
      <c r="F62" s="441"/>
      <c r="G62" s="442">
        <v>142.34</v>
      </c>
      <c r="H62" s="439"/>
      <c r="I62" s="443">
        <v>153.41999999999999</v>
      </c>
      <c r="J62" s="441"/>
      <c r="K62" s="442">
        <v>165.67</v>
      </c>
      <c r="L62" s="439"/>
      <c r="M62" s="443">
        <v>178.57</v>
      </c>
      <c r="N62" s="441"/>
      <c r="O62" s="468">
        <v>192.82</v>
      </c>
      <c r="P62" s="439"/>
      <c r="Q62" s="445"/>
      <c r="R62" s="446">
        <f t="shared" si="2"/>
        <v>0</v>
      </c>
    </row>
    <row r="63" spans="2:18" ht="15" customHeight="1" x14ac:dyDescent="0.2">
      <c r="B63" s="437" t="s">
        <v>417</v>
      </c>
      <c r="C63" s="438">
        <v>72.7</v>
      </c>
      <c r="D63" s="439"/>
      <c r="E63" s="440">
        <v>78.209999999999994</v>
      </c>
      <c r="F63" s="441"/>
      <c r="G63" s="442">
        <v>83.91</v>
      </c>
      <c r="H63" s="439"/>
      <c r="I63" s="443">
        <v>90.27</v>
      </c>
      <c r="J63" s="441"/>
      <c r="K63" s="442">
        <v>96.85</v>
      </c>
      <c r="L63" s="439"/>
      <c r="M63" s="443">
        <v>104.19</v>
      </c>
      <c r="N63" s="441"/>
      <c r="O63" s="468">
        <v>111.78</v>
      </c>
      <c r="P63" s="439"/>
      <c r="Q63" s="445"/>
      <c r="R63" s="446">
        <f t="shared" si="2"/>
        <v>0</v>
      </c>
    </row>
    <row r="64" spans="2:18" ht="15" customHeight="1" x14ac:dyDescent="0.2">
      <c r="B64" s="437" t="s">
        <v>418</v>
      </c>
      <c r="C64" s="438">
        <v>17.690000000000001</v>
      </c>
      <c r="D64" s="439"/>
      <c r="E64" s="440">
        <v>19.28</v>
      </c>
      <c r="F64" s="441"/>
      <c r="G64" s="442">
        <v>21.03</v>
      </c>
      <c r="H64" s="439"/>
      <c r="I64" s="443">
        <v>22.92</v>
      </c>
      <c r="J64" s="441"/>
      <c r="K64" s="442">
        <v>25</v>
      </c>
      <c r="L64" s="439"/>
      <c r="M64" s="443">
        <v>27.25</v>
      </c>
      <c r="N64" s="441"/>
      <c r="O64" s="468">
        <v>29.73</v>
      </c>
      <c r="P64" s="439"/>
      <c r="Q64" s="445"/>
      <c r="R64" s="446">
        <f t="shared" si="2"/>
        <v>0</v>
      </c>
    </row>
    <row r="65" spans="2:18" ht="15" customHeight="1" x14ac:dyDescent="0.2">
      <c r="B65" s="437" t="s">
        <v>419</v>
      </c>
      <c r="C65" s="438">
        <v>60.1</v>
      </c>
      <c r="D65" s="439"/>
      <c r="E65" s="440">
        <v>64.900000000000006</v>
      </c>
      <c r="F65" s="441"/>
      <c r="G65" s="442">
        <v>70.14</v>
      </c>
      <c r="H65" s="439"/>
      <c r="I65" s="443">
        <v>75.739999999999995</v>
      </c>
      <c r="J65" s="441"/>
      <c r="K65" s="442">
        <v>81.87</v>
      </c>
      <c r="L65" s="439"/>
      <c r="M65" s="443">
        <v>88.4</v>
      </c>
      <c r="N65" s="441"/>
      <c r="O65" s="468">
        <v>95.55</v>
      </c>
      <c r="P65" s="439"/>
      <c r="Q65" s="445"/>
      <c r="R65" s="446">
        <f t="shared" si="2"/>
        <v>0</v>
      </c>
    </row>
    <row r="66" spans="2:18" ht="15" customHeight="1" x14ac:dyDescent="0.2">
      <c r="B66" s="437" t="s">
        <v>420</v>
      </c>
      <c r="C66" s="438">
        <v>19.34</v>
      </c>
      <c r="D66" s="439"/>
      <c r="E66" s="440">
        <v>20.8</v>
      </c>
      <c r="F66" s="441"/>
      <c r="G66" s="442">
        <v>22.32</v>
      </c>
      <c r="H66" s="439"/>
      <c r="I66" s="443">
        <v>24.01</v>
      </c>
      <c r="J66" s="441"/>
      <c r="K66" s="442">
        <v>25.76</v>
      </c>
      <c r="L66" s="439"/>
      <c r="M66" s="443">
        <v>27.71</v>
      </c>
      <c r="N66" s="441"/>
      <c r="O66" s="468">
        <v>29.73</v>
      </c>
      <c r="P66" s="439"/>
      <c r="Q66" s="445"/>
      <c r="R66" s="446">
        <f t="shared" si="2"/>
        <v>0</v>
      </c>
    </row>
    <row r="67" spans="2:18" ht="15" customHeight="1" x14ac:dyDescent="0.2">
      <c r="B67" s="437" t="s">
        <v>396</v>
      </c>
      <c r="C67" s="438">
        <v>48</v>
      </c>
      <c r="D67" s="439"/>
      <c r="E67" s="440">
        <v>48</v>
      </c>
      <c r="F67" s="441"/>
      <c r="G67" s="442">
        <v>48</v>
      </c>
      <c r="H67" s="439"/>
      <c r="I67" s="443">
        <v>48</v>
      </c>
      <c r="J67" s="441"/>
      <c r="K67" s="442">
        <v>48</v>
      </c>
      <c r="L67" s="439"/>
      <c r="M67" s="443">
        <v>48</v>
      </c>
      <c r="N67" s="441"/>
      <c r="O67" s="468">
        <v>48</v>
      </c>
      <c r="P67" s="439"/>
      <c r="Q67" s="445"/>
      <c r="R67" s="446">
        <f t="shared" si="2"/>
        <v>0</v>
      </c>
    </row>
    <row r="68" spans="2:18" ht="15" customHeight="1" x14ac:dyDescent="0.2">
      <c r="B68" s="437" t="s">
        <v>390</v>
      </c>
      <c r="C68" s="438">
        <v>97.22</v>
      </c>
      <c r="D68" s="439"/>
      <c r="E68" s="440">
        <v>104.74</v>
      </c>
      <c r="F68" s="441"/>
      <c r="G68" s="442">
        <v>112.19</v>
      </c>
      <c r="H68" s="439"/>
      <c r="I68" s="443">
        <v>119.05</v>
      </c>
      <c r="J68" s="441"/>
      <c r="K68" s="442">
        <v>127.24</v>
      </c>
      <c r="L68" s="439"/>
      <c r="M68" s="443">
        <v>148.56</v>
      </c>
      <c r="N68" s="441"/>
      <c r="O68" s="468">
        <v>157.18</v>
      </c>
      <c r="P68" s="439"/>
      <c r="Q68" s="445"/>
      <c r="R68" s="446">
        <f t="shared" si="2"/>
        <v>0</v>
      </c>
    </row>
    <row r="69" spans="2:18" ht="15" customHeight="1" x14ac:dyDescent="0.2">
      <c r="B69" s="447"/>
      <c r="C69" s="448"/>
      <c r="D69" s="449"/>
      <c r="E69" s="449"/>
      <c r="F69" s="449"/>
      <c r="G69" s="449"/>
      <c r="H69" s="449"/>
      <c r="I69" s="449"/>
      <c r="J69" s="449"/>
      <c r="K69" s="449"/>
      <c r="L69" s="449"/>
      <c r="M69" s="449"/>
      <c r="N69" s="449"/>
      <c r="O69" s="444"/>
      <c r="P69" s="449"/>
      <c r="Q69" s="526" t="s">
        <v>397</v>
      </c>
      <c r="R69" s="455">
        <f>SUM(R52:R68)</f>
        <v>0</v>
      </c>
    </row>
    <row r="70" spans="2:18" ht="15" customHeight="1" x14ac:dyDescent="0.2">
      <c r="B70" s="437" t="s">
        <v>428</v>
      </c>
      <c r="C70" s="451"/>
      <c r="D70" s="452"/>
      <c r="E70" s="452"/>
      <c r="F70" s="452"/>
      <c r="G70" s="452"/>
      <c r="H70" s="452"/>
      <c r="I70" s="452"/>
      <c r="J70" s="452"/>
      <c r="K70" s="452"/>
      <c r="L70" s="452"/>
      <c r="M70" s="452"/>
      <c r="N70" s="452"/>
      <c r="O70" s="453"/>
      <c r="P70" s="452"/>
      <c r="Q70" s="454">
        <v>0.15</v>
      </c>
      <c r="R70" s="455">
        <f>SUM(R69*0.15)</f>
        <v>0</v>
      </c>
    </row>
    <row r="71" spans="2:18" ht="16" customHeight="1" thickBot="1" x14ac:dyDescent="0.25">
      <c r="B71" s="456"/>
      <c r="C71" s="457"/>
      <c r="D71" s="458"/>
      <c r="E71" s="458"/>
      <c r="F71" s="458"/>
      <c r="G71" s="458"/>
      <c r="H71" s="458"/>
      <c r="I71" s="458"/>
      <c r="J71" s="458"/>
      <c r="K71" s="458"/>
      <c r="L71" s="458"/>
      <c r="M71" s="458"/>
      <c r="N71" s="458"/>
      <c r="O71" s="459"/>
      <c r="P71" s="458"/>
      <c r="Q71" s="460" t="s">
        <v>369</v>
      </c>
      <c r="R71" s="461">
        <f>SUM(R69+R70)</f>
        <v>0</v>
      </c>
    </row>
    <row r="73" spans="2:18" ht="14" customHeight="1" thickBot="1" x14ac:dyDescent="0.2"/>
    <row r="74" spans="2:18" ht="15" customHeight="1" x14ac:dyDescent="0.2">
      <c r="C74" s="417" t="s">
        <v>374</v>
      </c>
      <c r="D74" s="418" t="s">
        <v>375</v>
      </c>
      <c r="E74" s="418" t="s">
        <v>374</v>
      </c>
      <c r="F74" s="418" t="s">
        <v>375</v>
      </c>
      <c r="G74" s="418" t="s">
        <v>374</v>
      </c>
      <c r="H74" s="418" t="s">
        <v>375</v>
      </c>
      <c r="I74" s="418" t="s">
        <v>374</v>
      </c>
      <c r="J74" s="418" t="s">
        <v>375</v>
      </c>
      <c r="K74" s="418" t="s">
        <v>374</v>
      </c>
      <c r="L74" s="418" t="s">
        <v>375</v>
      </c>
      <c r="M74" s="418" t="s">
        <v>374</v>
      </c>
      <c r="N74" s="418" t="s">
        <v>375</v>
      </c>
      <c r="O74" s="418" t="s">
        <v>374</v>
      </c>
      <c r="P74" s="418" t="s">
        <v>375</v>
      </c>
      <c r="Q74" s="419"/>
      <c r="R74" s="420" t="s">
        <v>45</v>
      </c>
    </row>
    <row r="75" spans="2:18" ht="16" customHeight="1" thickBot="1" x14ac:dyDescent="0.25">
      <c r="C75" s="421" t="s">
        <v>436</v>
      </c>
      <c r="D75" s="422"/>
      <c r="E75" s="423" t="s">
        <v>437</v>
      </c>
      <c r="F75" s="422"/>
      <c r="G75" s="424" t="s">
        <v>438</v>
      </c>
      <c r="H75" s="422"/>
      <c r="I75" s="423" t="s">
        <v>439</v>
      </c>
      <c r="J75" s="422"/>
      <c r="K75" s="424" t="s">
        <v>440</v>
      </c>
      <c r="L75" s="422"/>
      <c r="M75" s="423" t="s">
        <v>441</v>
      </c>
      <c r="N75" s="422"/>
      <c r="O75" s="424" t="s">
        <v>442</v>
      </c>
      <c r="P75" s="422"/>
      <c r="Q75" s="426"/>
      <c r="R75" s="427"/>
    </row>
    <row r="76" spans="2:18" ht="15" customHeight="1" x14ac:dyDescent="0.2">
      <c r="B76" s="428" t="s">
        <v>387</v>
      </c>
      <c r="C76" s="429">
        <v>76.150000000000006</v>
      </c>
      <c r="D76" s="430"/>
      <c r="E76" s="431">
        <v>83.23</v>
      </c>
      <c r="F76" s="432"/>
      <c r="G76" s="433">
        <v>89.54</v>
      </c>
      <c r="H76" s="430"/>
      <c r="I76" s="434">
        <v>96.06</v>
      </c>
      <c r="J76" s="432"/>
      <c r="K76" s="433">
        <v>103.35</v>
      </c>
      <c r="L76" s="430"/>
      <c r="M76" s="434">
        <v>110.87</v>
      </c>
      <c r="N76" s="432"/>
      <c r="O76" s="467">
        <v>119.28</v>
      </c>
      <c r="P76" s="430"/>
      <c r="Q76" s="419"/>
      <c r="R76" s="436">
        <f t="shared" ref="R76:R91" si="3">SUM(C76*D76+E76*F76+G76*H76+I76*J76+K76*L76+M76*+N76+O76*P76)</f>
        <v>0</v>
      </c>
    </row>
    <row r="77" spans="2:18" ht="15" customHeight="1" x14ac:dyDescent="0.2">
      <c r="B77" s="437" t="s">
        <v>410</v>
      </c>
      <c r="C77" s="438">
        <v>205.42</v>
      </c>
      <c r="D77" s="439"/>
      <c r="E77" s="440">
        <v>224.08</v>
      </c>
      <c r="F77" s="441"/>
      <c r="G77" s="442">
        <v>241.97</v>
      </c>
      <c r="H77" s="439"/>
      <c r="I77" s="443">
        <v>261.52999999999997</v>
      </c>
      <c r="J77" s="441"/>
      <c r="K77" s="442">
        <v>282.41000000000003</v>
      </c>
      <c r="L77" s="439"/>
      <c r="M77" s="443">
        <v>305.24</v>
      </c>
      <c r="N77" s="441"/>
      <c r="O77" s="468">
        <v>329.62</v>
      </c>
      <c r="P77" s="439"/>
      <c r="Q77" s="445"/>
      <c r="R77" s="446">
        <f t="shared" si="3"/>
        <v>0</v>
      </c>
    </row>
    <row r="78" spans="2:18" ht="15" customHeight="1" x14ac:dyDescent="0.2">
      <c r="B78" s="437" t="s">
        <v>384</v>
      </c>
      <c r="C78" s="438">
        <v>285.14999999999998</v>
      </c>
      <c r="D78" s="439"/>
      <c r="E78" s="440">
        <v>307.44</v>
      </c>
      <c r="F78" s="441"/>
      <c r="G78" s="442">
        <v>331.46</v>
      </c>
      <c r="H78" s="439"/>
      <c r="I78" s="443">
        <v>357.36</v>
      </c>
      <c r="J78" s="441"/>
      <c r="K78" s="442">
        <v>385.28</v>
      </c>
      <c r="L78" s="439"/>
      <c r="M78" s="443">
        <v>415.38</v>
      </c>
      <c r="N78" s="441"/>
      <c r="O78" s="468">
        <v>447.84</v>
      </c>
      <c r="P78" s="439"/>
      <c r="Q78" s="445"/>
      <c r="R78" s="446">
        <f t="shared" si="3"/>
        <v>0</v>
      </c>
    </row>
    <row r="79" spans="2:18" ht="15" customHeight="1" x14ac:dyDescent="0.2">
      <c r="B79" s="437" t="s">
        <v>385</v>
      </c>
      <c r="C79" s="438">
        <v>183.71</v>
      </c>
      <c r="D79" s="439"/>
      <c r="E79" s="440">
        <v>200.22</v>
      </c>
      <c r="F79" s="441"/>
      <c r="G79" s="442">
        <v>215.8</v>
      </c>
      <c r="H79" s="439"/>
      <c r="I79" s="443">
        <v>233.03</v>
      </c>
      <c r="J79" s="441"/>
      <c r="K79" s="442">
        <v>251.17</v>
      </c>
      <c r="L79" s="439"/>
      <c r="M79" s="443">
        <v>271.23</v>
      </c>
      <c r="N79" s="441"/>
      <c r="O79" s="468">
        <v>292.33999999999997</v>
      </c>
      <c r="P79" s="439"/>
      <c r="Q79" s="445"/>
      <c r="R79" s="446">
        <f t="shared" si="3"/>
        <v>0</v>
      </c>
    </row>
    <row r="80" spans="2:18" ht="15" customHeight="1" x14ac:dyDescent="0.2">
      <c r="B80" s="437" t="s">
        <v>411</v>
      </c>
      <c r="C80" s="438">
        <v>263.77999999999997</v>
      </c>
      <c r="D80" s="439"/>
      <c r="E80" s="440">
        <v>287.74</v>
      </c>
      <c r="F80" s="441"/>
      <c r="G80" s="442">
        <v>312.44</v>
      </c>
      <c r="H80" s="439"/>
      <c r="I80" s="443">
        <v>337.7</v>
      </c>
      <c r="J80" s="441"/>
      <c r="K80" s="442">
        <v>366.69</v>
      </c>
      <c r="L80" s="439"/>
      <c r="M80" s="443">
        <v>396.33</v>
      </c>
      <c r="N80" s="441"/>
      <c r="O80" s="468">
        <v>430.36</v>
      </c>
      <c r="P80" s="439"/>
      <c r="Q80" s="445"/>
      <c r="R80" s="446">
        <f t="shared" si="3"/>
        <v>0</v>
      </c>
    </row>
    <row r="81" spans="2:18" ht="15" customHeight="1" x14ac:dyDescent="0.2">
      <c r="B81" s="437" t="s">
        <v>412</v>
      </c>
      <c r="C81" s="438">
        <v>413.37</v>
      </c>
      <c r="D81" s="439"/>
      <c r="E81" s="440">
        <v>445.66</v>
      </c>
      <c r="F81" s="441"/>
      <c r="G81" s="442">
        <v>480.49</v>
      </c>
      <c r="H81" s="439"/>
      <c r="I81" s="443">
        <v>518.03</v>
      </c>
      <c r="J81" s="441"/>
      <c r="K81" s="442">
        <v>558.51</v>
      </c>
      <c r="L81" s="439"/>
      <c r="M81" s="443">
        <v>602.14</v>
      </c>
      <c r="N81" s="441"/>
      <c r="O81" s="468">
        <v>649.19000000000005</v>
      </c>
      <c r="P81" s="439"/>
      <c r="Q81" s="445"/>
      <c r="R81" s="446">
        <f t="shared" si="3"/>
        <v>0</v>
      </c>
    </row>
    <row r="82" spans="2:18" ht="15" customHeight="1" x14ac:dyDescent="0.2">
      <c r="B82" s="437" t="s">
        <v>413</v>
      </c>
      <c r="C82" s="438">
        <v>294.62</v>
      </c>
      <c r="D82" s="439"/>
      <c r="E82" s="440">
        <v>321.39</v>
      </c>
      <c r="F82" s="441"/>
      <c r="G82" s="442">
        <v>348.97</v>
      </c>
      <c r="H82" s="439"/>
      <c r="I82" s="443">
        <v>377.19</v>
      </c>
      <c r="J82" s="441"/>
      <c r="K82" s="442">
        <v>409.56</v>
      </c>
      <c r="L82" s="439"/>
      <c r="M82" s="443">
        <v>442.67</v>
      </c>
      <c r="N82" s="441"/>
      <c r="O82" s="468">
        <v>480.67</v>
      </c>
      <c r="P82" s="439"/>
      <c r="Q82" s="445"/>
      <c r="R82" s="446">
        <f t="shared" si="3"/>
        <v>0</v>
      </c>
    </row>
    <row r="83" spans="2:18" ht="15" customHeight="1" x14ac:dyDescent="0.2">
      <c r="B83" s="437" t="s">
        <v>414</v>
      </c>
      <c r="C83" s="438">
        <v>227.62</v>
      </c>
      <c r="D83" s="439"/>
      <c r="E83" s="440">
        <v>246.03</v>
      </c>
      <c r="F83" s="441"/>
      <c r="G83" s="442">
        <v>265.67</v>
      </c>
      <c r="H83" s="439"/>
      <c r="I83" s="443">
        <v>287.14999999999998</v>
      </c>
      <c r="J83" s="441"/>
      <c r="K83" s="442">
        <v>310.07</v>
      </c>
      <c r="L83" s="439"/>
      <c r="M83" s="443">
        <v>335.14</v>
      </c>
      <c r="N83" s="441"/>
      <c r="O83" s="468">
        <v>361.89</v>
      </c>
      <c r="P83" s="439"/>
      <c r="Q83" s="445"/>
      <c r="R83" s="446">
        <f t="shared" si="3"/>
        <v>0</v>
      </c>
    </row>
    <row r="84" spans="2:18" ht="15" customHeight="1" x14ac:dyDescent="0.2">
      <c r="B84" s="437" t="s">
        <v>415</v>
      </c>
      <c r="C84" s="438">
        <v>227.62</v>
      </c>
      <c r="D84" s="439"/>
      <c r="E84" s="440">
        <v>246.03</v>
      </c>
      <c r="F84" s="441"/>
      <c r="G84" s="442">
        <v>265.67</v>
      </c>
      <c r="H84" s="439"/>
      <c r="I84" s="443">
        <v>287.14999999999998</v>
      </c>
      <c r="J84" s="441"/>
      <c r="K84" s="442">
        <v>310.07</v>
      </c>
      <c r="L84" s="439"/>
      <c r="M84" s="443">
        <v>335.14</v>
      </c>
      <c r="N84" s="441"/>
      <c r="O84" s="468">
        <v>361.89</v>
      </c>
      <c r="P84" s="439"/>
      <c r="Q84" s="445"/>
      <c r="R84" s="446">
        <f t="shared" si="3"/>
        <v>0</v>
      </c>
    </row>
    <row r="85" spans="2:18" ht="15" customHeight="1" x14ac:dyDescent="0.2">
      <c r="B85" s="437" t="s">
        <v>416</v>
      </c>
      <c r="C85" s="438">
        <v>207.83</v>
      </c>
      <c r="D85" s="439"/>
      <c r="E85" s="440">
        <v>224.43</v>
      </c>
      <c r="F85" s="441"/>
      <c r="G85" s="442">
        <v>241.9</v>
      </c>
      <c r="H85" s="439"/>
      <c r="I85" s="443">
        <v>261.20999999999998</v>
      </c>
      <c r="J85" s="441"/>
      <c r="K85" s="442">
        <v>281.54000000000002</v>
      </c>
      <c r="L85" s="439"/>
      <c r="M85" s="443">
        <v>304.02</v>
      </c>
      <c r="N85" s="441"/>
      <c r="O85" s="468">
        <v>327.68</v>
      </c>
      <c r="P85" s="439"/>
      <c r="Q85" s="445"/>
      <c r="R85" s="446">
        <f t="shared" si="3"/>
        <v>0</v>
      </c>
    </row>
    <row r="86" spans="2:18" ht="15" customHeight="1" x14ac:dyDescent="0.2">
      <c r="B86" s="437" t="s">
        <v>417</v>
      </c>
      <c r="C86" s="438">
        <v>120.26</v>
      </c>
      <c r="D86" s="439"/>
      <c r="E86" s="440">
        <v>129.02000000000001</v>
      </c>
      <c r="F86" s="441"/>
      <c r="G86" s="442">
        <v>138.80000000000001</v>
      </c>
      <c r="H86" s="439"/>
      <c r="I86" s="443">
        <v>148.91</v>
      </c>
      <c r="J86" s="441"/>
      <c r="K86" s="442">
        <v>160.21</v>
      </c>
      <c r="L86" s="439"/>
      <c r="M86" s="443">
        <v>171.88</v>
      </c>
      <c r="N86" s="441"/>
      <c r="O86" s="468">
        <v>184.91</v>
      </c>
      <c r="P86" s="439"/>
      <c r="Q86" s="445"/>
      <c r="R86" s="446">
        <f t="shared" si="3"/>
        <v>0</v>
      </c>
    </row>
    <row r="87" spans="2:18" ht="15" customHeight="1" x14ac:dyDescent="0.2">
      <c r="B87" s="437" t="s">
        <v>418</v>
      </c>
      <c r="C87" s="438">
        <v>32.4</v>
      </c>
      <c r="D87" s="439"/>
      <c r="E87" s="440">
        <v>35.340000000000003</v>
      </c>
      <c r="F87" s="441"/>
      <c r="G87" s="442">
        <v>38.520000000000003</v>
      </c>
      <c r="H87" s="439"/>
      <c r="I87" s="443">
        <v>42.01</v>
      </c>
      <c r="J87" s="441"/>
      <c r="K87" s="442">
        <v>45.79</v>
      </c>
      <c r="L87" s="439"/>
      <c r="M87" s="443">
        <v>49.95</v>
      </c>
      <c r="N87" s="441"/>
      <c r="O87" s="468">
        <v>54.44</v>
      </c>
      <c r="P87" s="439"/>
      <c r="Q87" s="445"/>
      <c r="R87" s="446">
        <f t="shared" si="3"/>
        <v>0</v>
      </c>
    </row>
    <row r="88" spans="2:18" ht="15" customHeight="1" x14ac:dyDescent="0.2">
      <c r="B88" s="437" t="s">
        <v>419</v>
      </c>
      <c r="C88" s="438">
        <v>103.18</v>
      </c>
      <c r="D88" s="439"/>
      <c r="E88" s="440">
        <v>111.52</v>
      </c>
      <c r="F88" s="441"/>
      <c r="G88" s="442">
        <v>120.42</v>
      </c>
      <c r="H88" s="439"/>
      <c r="I88" s="443">
        <v>130.16</v>
      </c>
      <c r="J88" s="441"/>
      <c r="K88" s="442">
        <v>140.55000000000001</v>
      </c>
      <c r="L88" s="439"/>
      <c r="M88" s="443">
        <v>151.91</v>
      </c>
      <c r="N88" s="441"/>
      <c r="O88" s="468">
        <v>164.04</v>
      </c>
      <c r="P88" s="439"/>
      <c r="Q88" s="445"/>
      <c r="R88" s="446">
        <f t="shared" si="3"/>
        <v>0</v>
      </c>
    </row>
    <row r="89" spans="2:18" ht="15" customHeight="1" x14ac:dyDescent="0.2">
      <c r="B89" s="437" t="s">
        <v>420</v>
      </c>
      <c r="C89" s="438">
        <v>31.99</v>
      </c>
      <c r="D89" s="439"/>
      <c r="E89" s="440">
        <v>34.32</v>
      </c>
      <c r="F89" s="441"/>
      <c r="G89" s="442">
        <v>36.92</v>
      </c>
      <c r="H89" s="439"/>
      <c r="I89" s="443">
        <v>39.61</v>
      </c>
      <c r="J89" s="441"/>
      <c r="K89" s="442">
        <v>42.61</v>
      </c>
      <c r="L89" s="439"/>
      <c r="M89" s="443">
        <v>45.72</v>
      </c>
      <c r="N89" s="441"/>
      <c r="O89" s="468">
        <v>49.18</v>
      </c>
      <c r="P89" s="439"/>
      <c r="Q89" s="445"/>
      <c r="R89" s="446">
        <f t="shared" si="3"/>
        <v>0</v>
      </c>
    </row>
    <row r="90" spans="2:18" ht="15" customHeight="1" x14ac:dyDescent="0.2">
      <c r="B90" s="437" t="s">
        <v>396</v>
      </c>
      <c r="C90" s="438">
        <v>48</v>
      </c>
      <c r="D90" s="439"/>
      <c r="E90" s="440">
        <v>48</v>
      </c>
      <c r="F90" s="441"/>
      <c r="G90" s="442">
        <v>48</v>
      </c>
      <c r="H90" s="439"/>
      <c r="I90" s="443">
        <v>48</v>
      </c>
      <c r="J90" s="441"/>
      <c r="K90" s="442">
        <v>48</v>
      </c>
      <c r="L90" s="439"/>
      <c r="M90" s="443">
        <v>48</v>
      </c>
      <c r="N90" s="441"/>
      <c r="O90" s="468">
        <v>48</v>
      </c>
      <c r="P90" s="439"/>
      <c r="Q90" s="445"/>
      <c r="R90" s="446">
        <f t="shared" si="3"/>
        <v>0</v>
      </c>
    </row>
    <row r="91" spans="2:18" ht="15" customHeight="1" x14ac:dyDescent="0.2">
      <c r="B91" s="437" t="s">
        <v>390</v>
      </c>
      <c r="C91" s="438"/>
      <c r="D91" s="439"/>
      <c r="E91" s="440"/>
      <c r="F91" s="441"/>
      <c r="G91" s="442"/>
      <c r="H91" s="439"/>
      <c r="I91" s="443"/>
      <c r="J91" s="441"/>
      <c r="K91" s="442"/>
      <c r="L91" s="439"/>
      <c r="M91" s="443"/>
      <c r="N91" s="441"/>
      <c r="O91" s="468"/>
      <c r="P91" s="439"/>
      <c r="Q91" s="445"/>
      <c r="R91" s="446">
        <f t="shared" si="3"/>
        <v>0</v>
      </c>
    </row>
    <row r="92" spans="2:18" ht="15" customHeight="1" x14ac:dyDescent="0.2">
      <c r="B92" s="447"/>
      <c r="C92" s="448"/>
      <c r="D92" s="449"/>
      <c r="E92" s="449"/>
      <c r="F92" s="449"/>
      <c r="G92" s="449"/>
      <c r="H92" s="449"/>
      <c r="I92" s="449"/>
      <c r="J92" s="449"/>
      <c r="K92" s="449"/>
      <c r="L92" s="449"/>
      <c r="M92" s="449"/>
      <c r="N92" s="449"/>
      <c r="O92" s="444"/>
      <c r="P92" s="449"/>
      <c r="Q92" s="526" t="s">
        <v>397</v>
      </c>
      <c r="R92" s="455">
        <f>SUM(R75:R91)</f>
        <v>0</v>
      </c>
    </row>
    <row r="93" spans="2:18" ht="15" customHeight="1" x14ac:dyDescent="0.2">
      <c r="B93" s="437" t="s">
        <v>428</v>
      </c>
      <c r="C93" s="451"/>
      <c r="D93" s="452"/>
      <c r="E93" s="452"/>
      <c r="F93" s="452"/>
      <c r="G93" s="452"/>
      <c r="H93" s="452"/>
      <c r="I93" s="452"/>
      <c r="J93" s="452"/>
      <c r="K93" s="452"/>
      <c r="L93" s="452"/>
      <c r="M93" s="452"/>
      <c r="N93" s="452"/>
      <c r="O93" s="453"/>
      <c r="P93" s="452"/>
      <c r="Q93" s="454">
        <v>0.15</v>
      </c>
      <c r="R93" s="455">
        <f>SUM(R92*0.15)</f>
        <v>0</v>
      </c>
    </row>
    <row r="94" spans="2:18" ht="16" customHeight="1" thickBot="1" x14ac:dyDescent="0.25">
      <c r="B94" s="456"/>
      <c r="C94" s="457"/>
      <c r="D94" s="458"/>
      <c r="E94" s="458"/>
      <c r="F94" s="458"/>
      <c r="G94" s="458"/>
      <c r="H94" s="458"/>
      <c r="I94" s="458"/>
      <c r="J94" s="458"/>
      <c r="K94" s="458"/>
      <c r="L94" s="458"/>
      <c r="M94" s="458"/>
      <c r="N94" s="458"/>
      <c r="O94" s="459"/>
      <c r="P94" s="458"/>
      <c r="Q94" s="460" t="s">
        <v>369</v>
      </c>
      <c r="R94" s="461">
        <f>SUM(R92+R93)</f>
        <v>0</v>
      </c>
    </row>
  </sheetData>
  <mergeCells count="4">
    <mergeCell ref="H2:L2"/>
    <mergeCell ref="B3:O3"/>
    <mergeCell ref="N2:O2"/>
    <mergeCell ref="B2:E2"/>
  </mergeCells>
  <pageMargins left="0.7" right="0.7" top="0.75" bottom="0.75" header="0.3" footer="0.3"/>
  <pageSetup paperSize="9" orientation="portrait"/>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sheetPr>
    <tabColor theme="8" tint="0.79998168889431442"/>
    <pageSetUpPr fitToPage="1"/>
  </sheetPr>
  <dimension ref="B1:AB82"/>
  <sheetViews>
    <sheetView zoomScale="90" zoomScaleNormal="90" workbookViewId="0">
      <selection activeCell="G187" sqref="G187"/>
    </sheetView>
  </sheetViews>
  <sheetFormatPr baseColWidth="10" defaultColWidth="13.16406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0" width="14.1640625" style="114" customWidth="1"/>
    <col min="11" max="11" width="13.1640625" style="114" customWidth="1"/>
    <col min="12" max="12" width="13.1640625" style="113" customWidth="1"/>
    <col min="13" max="13" width="13.1640625" style="115" customWidth="1"/>
    <col min="14" max="15" width="13.1640625" style="113" customWidth="1"/>
    <col min="16" max="16" width="13.1640625" style="115" customWidth="1"/>
    <col min="17" max="18" width="13.1640625" style="113" customWidth="1"/>
    <col min="19" max="19" width="13.1640625" style="115" customWidth="1"/>
    <col min="20" max="27" width="13.1640625" style="113" customWidth="1"/>
    <col min="28" max="28" width="13.1640625" style="115" customWidth="1"/>
    <col min="29" max="29" width="13.1640625" style="113" customWidth="1"/>
    <col min="30" max="16384" width="13.1640625" style="113"/>
  </cols>
  <sheetData>
    <row r="1" spans="2:28" s="118" customFormat="1" ht="15" customHeight="1" thickBot="1" x14ac:dyDescent="0.2">
      <c r="B1" s="125" t="s">
        <v>444</v>
      </c>
      <c r="C1" s="983" t="s">
        <v>445</v>
      </c>
      <c r="D1" s="975"/>
      <c r="E1" s="975"/>
      <c r="F1" s="975"/>
      <c r="G1" s="975"/>
      <c r="H1" s="975"/>
      <c r="I1" s="975"/>
      <c r="J1" s="976"/>
      <c r="K1" s="853" t="s">
        <v>48</v>
      </c>
      <c r="R1" s="119"/>
      <c r="U1" s="120"/>
    </row>
    <row r="2" spans="2:28" s="92" customFormat="1" ht="15" customHeight="1" x14ac:dyDescent="0.15">
      <c r="B2" s="97"/>
      <c r="C2" s="98"/>
      <c r="E2" s="62"/>
      <c r="F2" s="243"/>
      <c r="G2" s="244"/>
      <c r="H2" s="245"/>
      <c r="I2" s="239"/>
      <c r="J2" s="239"/>
      <c r="K2" s="122"/>
      <c r="P2" s="101"/>
      <c r="R2" s="95"/>
      <c r="U2" s="96"/>
    </row>
    <row r="3" spans="2:28" s="92" customFormat="1" ht="15" customHeight="1" x14ac:dyDescent="0.15">
      <c r="B3" s="102" t="s">
        <v>446</v>
      </c>
      <c r="C3" s="938" t="e">
        <f>IF([17]CANOPY!C3="","",[17]CANOPY!C3)</f>
        <v>#REF!</v>
      </c>
      <c r="D3" s="979"/>
      <c r="E3" s="103" t="s">
        <v>4</v>
      </c>
      <c r="F3" s="935" t="e">
        <f>IF([17]CANOPY!G3="","",[17]CANOPY!G3)</f>
        <v>#REF!</v>
      </c>
      <c r="G3" s="979"/>
      <c r="H3" s="245"/>
      <c r="I3" s="239"/>
      <c r="J3" s="239"/>
      <c r="K3" s="122"/>
      <c r="R3" s="95"/>
      <c r="U3" s="96"/>
    </row>
    <row r="4" spans="2:28" s="92" customFormat="1" ht="15" customHeight="1" x14ac:dyDescent="0.15">
      <c r="B4" s="97"/>
      <c r="C4" s="97"/>
      <c r="E4" s="104"/>
      <c r="F4" s="251"/>
      <c r="G4" s="252"/>
      <c r="H4" s="245"/>
      <c r="I4" s="239"/>
      <c r="J4" s="239"/>
      <c r="K4" s="122"/>
      <c r="R4" s="95"/>
      <c r="U4" s="96"/>
    </row>
    <row r="5" spans="2:28" s="92" customFormat="1" ht="15" customHeight="1" x14ac:dyDescent="0.15">
      <c r="B5" s="102" t="s">
        <v>6</v>
      </c>
      <c r="C5" s="938" t="e">
        <f>IF([17]CANOPY!C5="","",[17]CANOPY!C5)</f>
        <v>#REF!</v>
      </c>
      <c r="D5" s="979"/>
      <c r="E5" s="103" t="s">
        <v>8</v>
      </c>
      <c r="F5" s="935" t="e">
        <f>IF([17]CANOPY!G5="","",[17]CANOPY!G5)</f>
        <v>#REF!</v>
      </c>
      <c r="G5" s="979"/>
      <c r="H5" s="245"/>
      <c r="I5" s="239"/>
      <c r="J5" s="239"/>
      <c r="K5" s="122"/>
      <c r="L5" s="105"/>
      <c r="R5" s="95"/>
      <c r="U5" s="96"/>
    </row>
    <row r="6" spans="2:28" s="92" customFormat="1" ht="15" customHeight="1" x14ac:dyDescent="0.15">
      <c r="B6" s="102"/>
      <c r="C6" s="97"/>
      <c r="E6" s="103"/>
      <c r="F6" s="253"/>
      <c r="G6" s="254"/>
      <c r="H6" s="245"/>
      <c r="I6" s="239"/>
      <c r="J6" s="239"/>
      <c r="K6" s="122"/>
      <c r="L6" s="105"/>
      <c r="R6" s="106"/>
      <c r="U6" s="96"/>
    </row>
    <row r="7" spans="2:28" s="92" customFormat="1" ht="15" customHeight="1" x14ac:dyDescent="0.15">
      <c r="B7" s="75" t="s">
        <v>10</v>
      </c>
      <c r="C7" s="938" t="e">
        <f>IF([17]CANOPY!C7="","",[17]CANOPY!C7)</f>
        <v>#REF!</v>
      </c>
      <c r="D7" s="979"/>
      <c r="E7" s="103" t="s">
        <v>12</v>
      </c>
      <c r="F7" s="939" t="e">
        <f>IF([17]CANOPY!G7="","",[17]CANOPY!G7)</f>
        <v>#REF!</v>
      </c>
      <c r="G7" s="979"/>
      <c r="H7" s="245"/>
      <c r="J7" s="240" t="s">
        <v>14</v>
      </c>
      <c r="K7" s="787" t="e">
        <f>IF([17]CANOPY!O7="","",[17]CANOPY!O7)</f>
        <v>#REF!</v>
      </c>
      <c r="L7" s="105"/>
      <c r="M7" s="964" t="s">
        <v>447</v>
      </c>
      <c r="N7" s="979"/>
      <c r="O7" s="979"/>
      <c r="R7" s="106"/>
      <c r="U7" s="96"/>
    </row>
    <row r="8" spans="2:28" s="111" customFormat="1" ht="15" customHeight="1" x14ac:dyDescent="0.2">
      <c r="B8" s="108"/>
      <c r="D8" s="97"/>
      <c r="E8" s="110"/>
      <c r="F8" s="246"/>
      <c r="G8" s="109"/>
      <c r="H8" s="241"/>
      <c r="I8" s="241"/>
      <c r="J8" s="241"/>
      <c r="K8" s="241"/>
      <c r="M8" s="112"/>
      <c r="P8" s="112"/>
      <c r="S8" s="112"/>
      <c r="AB8" s="112"/>
    </row>
    <row r="9" spans="2:28" ht="15" customHeight="1" x14ac:dyDescent="0.2">
      <c r="B9" s="38" t="s">
        <v>15</v>
      </c>
      <c r="C9" s="829">
        <v>0</v>
      </c>
      <c r="D9" s="294">
        <f>IF(C9=0,0,(SUBTOTAL(9,I12:I66)/(1-C9))-I9)</f>
        <v>0</v>
      </c>
      <c r="G9" s="25">
        <f>SUBTOTAL(9,G13:G66)</f>
        <v>8103</v>
      </c>
      <c r="H9" s="845">
        <f>IF(K9=0,"-",K9/I9)</f>
        <v>0.30358248057792825</v>
      </c>
      <c r="I9" s="25">
        <f>SUBTOTAL(9,I13:I67)</f>
        <v>11635.2615694165</v>
      </c>
      <c r="J9" s="382">
        <f>SUBTOTAL(9,J13:J66)</f>
        <v>11635.2615694165</v>
      </c>
      <c r="K9" s="25">
        <f>SUBTOTAL(9,K13:K66)</f>
        <v>3532.2615694164992</v>
      </c>
    </row>
    <row r="10" spans="2:28" ht="15" customHeight="1" x14ac:dyDescent="0.2">
      <c r="B10" s="2" t="s">
        <v>15</v>
      </c>
      <c r="C10" s="2" t="s">
        <v>16</v>
      </c>
      <c r="D10" s="2" t="s">
        <v>17</v>
      </c>
      <c r="E10" s="236"/>
      <c r="F10" s="2" t="s">
        <v>52</v>
      </c>
      <c r="G10" s="2" t="s">
        <v>18</v>
      </c>
      <c r="H10" s="3" t="s">
        <v>19</v>
      </c>
      <c r="I10" s="4" t="s">
        <v>21</v>
      </c>
      <c r="J10" s="4" t="s">
        <v>21</v>
      </c>
      <c r="K10" s="237" t="s">
        <v>22</v>
      </c>
    </row>
    <row r="11" spans="2:28" ht="15" customHeight="1" x14ac:dyDescent="0.2">
      <c r="B11" s="16"/>
      <c r="C11" s="17"/>
      <c r="D11" s="17"/>
      <c r="E11" s="18"/>
      <c r="F11" s="17"/>
      <c r="G11" s="17"/>
      <c r="H11" s="19"/>
      <c r="I11" s="20"/>
      <c r="J11" s="20"/>
      <c r="K11" s="21"/>
    </row>
    <row r="12" spans="2:28" ht="15" customHeight="1" x14ac:dyDescent="0.2">
      <c r="B12" s="24" t="s">
        <v>448</v>
      </c>
      <c r="C12" s="138" t="s">
        <v>449</v>
      </c>
      <c r="D12" s="138" t="s">
        <v>450</v>
      </c>
      <c r="E12" s="23"/>
      <c r="F12" s="22"/>
      <c r="G12" s="58">
        <f>SUBTOTAL(9,G13:G54)</f>
        <v>8103</v>
      </c>
      <c r="H12" s="39">
        <f>IF(G12=0,"-",K12/I12)</f>
        <v>0.30358248057792825</v>
      </c>
      <c r="I12" s="58">
        <f>SUBTOTAL(9,I13:I54)</f>
        <v>11635.2615694165</v>
      </c>
      <c r="J12" s="382">
        <f>SUBTOTAL(9,J13:J54)</f>
        <v>11635.2615694165</v>
      </c>
      <c r="K12" s="58">
        <f>SUBTOTAL(9,K13:K54)</f>
        <v>3532.2615694164992</v>
      </c>
    </row>
    <row r="13" spans="2:28" ht="15" customHeight="1" x14ac:dyDescent="0.2">
      <c r="B13" s="744" t="s">
        <v>451</v>
      </c>
      <c r="C13" s="186"/>
      <c r="D13" s="740"/>
      <c r="E13" s="187"/>
      <c r="F13" s="302"/>
      <c r="G13" s="295">
        <f t="shared" ref="G13:G54" si="0">C13*F13</f>
        <v>0</v>
      </c>
      <c r="H13" s="298">
        <v>0.28999999999999998</v>
      </c>
      <c r="I13" s="234">
        <f t="shared" ref="I13:I54" si="1">G13/(1-H13)*(1+$C$9)</f>
        <v>0</v>
      </c>
      <c r="J13" s="295">
        <f>I13*VLOOKUP($B$9,'Base Costs'!$A$32:$B$37,2,FALSE)</f>
        <v>0</v>
      </c>
      <c r="K13" s="296">
        <f t="shared" ref="K13:K54" si="2">I13-G13</f>
        <v>0</v>
      </c>
    </row>
    <row r="14" spans="2:28" ht="15" customHeight="1" x14ac:dyDescent="0.2">
      <c r="B14" s="487" t="s">
        <v>452</v>
      </c>
      <c r="C14" s="186">
        <v>1</v>
      </c>
      <c r="D14" s="740" t="s">
        <v>453</v>
      </c>
      <c r="E14" s="187"/>
      <c r="F14" s="302">
        <v>590</v>
      </c>
      <c r="G14" s="295">
        <f t="shared" si="0"/>
        <v>590</v>
      </c>
      <c r="H14" s="298">
        <v>0.28999999999999998</v>
      </c>
      <c r="I14" s="234">
        <f t="shared" si="1"/>
        <v>830.98591549295782</v>
      </c>
      <c r="J14" s="295">
        <f>I14*VLOOKUP($B$9,'Base Costs'!$A$32:$B$37,2,FALSE)</f>
        <v>830.98591549295782</v>
      </c>
      <c r="K14" s="296">
        <f t="shared" si="2"/>
        <v>240.98591549295782</v>
      </c>
    </row>
    <row r="15" spans="2:28" ht="15" customHeight="1" x14ac:dyDescent="0.2">
      <c r="B15" s="487" t="s">
        <v>454</v>
      </c>
      <c r="C15" s="186">
        <v>2</v>
      </c>
      <c r="D15" s="740" t="s">
        <v>453</v>
      </c>
      <c r="E15" s="187"/>
      <c r="F15" s="302">
        <v>360</v>
      </c>
      <c r="G15" s="295">
        <f t="shared" si="0"/>
        <v>720</v>
      </c>
      <c r="H15" s="298">
        <v>0.28999999999999998</v>
      </c>
      <c r="I15" s="234">
        <f t="shared" si="1"/>
        <v>1014.0845070422536</v>
      </c>
      <c r="J15" s="295">
        <f>I15*VLOOKUP($B$9,'Base Costs'!$A$32:$B$37,2,FALSE)</f>
        <v>1014.0845070422536</v>
      </c>
      <c r="K15" s="296">
        <f t="shared" si="2"/>
        <v>294.08450704225356</v>
      </c>
    </row>
    <row r="16" spans="2:28" ht="15" customHeight="1" x14ac:dyDescent="0.2">
      <c r="B16" s="487" t="s">
        <v>455</v>
      </c>
      <c r="C16" s="186">
        <v>1</v>
      </c>
      <c r="D16" s="740" t="s">
        <v>453</v>
      </c>
      <c r="E16" s="187"/>
      <c r="F16" s="302">
        <v>200</v>
      </c>
      <c r="G16" s="295">
        <f t="shared" si="0"/>
        <v>200</v>
      </c>
      <c r="H16" s="298">
        <v>0.28999999999999998</v>
      </c>
      <c r="I16" s="234">
        <f t="shared" si="1"/>
        <v>281.69014084507046</v>
      </c>
      <c r="J16" s="295">
        <f>I16*VLOOKUP($B$9,'Base Costs'!$A$32:$B$37,2,FALSE)</f>
        <v>281.69014084507046</v>
      </c>
      <c r="K16" s="296">
        <f t="shared" si="2"/>
        <v>81.690140845070459</v>
      </c>
    </row>
    <row r="17" spans="2:11" ht="15" customHeight="1" x14ac:dyDescent="0.2">
      <c r="B17" s="487" t="s">
        <v>456</v>
      </c>
      <c r="C17" s="186">
        <v>1</v>
      </c>
      <c r="D17" s="740" t="s">
        <v>453</v>
      </c>
      <c r="E17" s="187"/>
      <c r="F17" s="302">
        <v>250</v>
      </c>
      <c r="G17" s="295">
        <f t="shared" si="0"/>
        <v>250</v>
      </c>
      <c r="H17" s="298">
        <v>0.28999999999999998</v>
      </c>
      <c r="I17" s="234">
        <f t="shared" si="1"/>
        <v>352.11267605633805</v>
      </c>
      <c r="J17" s="295">
        <f>I17*VLOOKUP($B$9,'Base Costs'!$A$32:$B$37,2,FALSE)</f>
        <v>352.11267605633805</v>
      </c>
      <c r="K17" s="296">
        <f t="shared" si="2"/>
        <v>102.11267605633805</v>
      </c>
    </row>
    <row r="18" spans="2:11" ht="15" customHeight="1" x14ac:dyDescent="0.2">
      <c r="B18" s="487"/>
      <c r="C18" s="186"/>
      <c r="D18" s="188"/>
      <c r="E18" s="187"/>
      <c r="F18" s="302">
        <f>26*1.03</f>
        <v>26.78</v>
      </c>
      <c r="G18" s="295">
        <f t="shared" si="0"/>
        <v>0</v>
      </c>
      <c r="H18" s="298">
        <v>0.28999999999999998</v>
      </c>
      <c r="I18" s="234">
        <f t="shared" si="1"/>
        <v>0</v>
      </c>
      <c r="J18" s="295">
        <f>I18*VLOOKUP($B$9,'Base Costs'!$A$32:$B$37,2,FALSE)</f>
        <v>0</v>
      </c>
      <c r="K18" s="296">
        <f t="shared" si="2"/>
        <v>0</v>
      </c>
    </row>
    <row r="19" spans="2:11" ht="15" customHeight="1" x14ac:dyDescent="0.2">
      <c r="B19" s="741" t="s">
        <v>452</v>
      </c>
      <c r="C19" s="186">
        <v>1</v>
      </c>
      <c r="D19" s="740" t="s">
        <v>457</v>
      </c>
      <c r="E19" s="187"/>
      <c r="F19" s="302">
        <v>590</v>
      </c>
      <c r="G19" s="295">
        <f t="shared" si="0"/>
        <v>590</v>
      </c>
      <c r="H19" s="298">
        <v>0.44</v>
      </c>
      <c r="I19" s="234">
        <f t="shared" si="1"/>
        <v>1053.5714285714284</v>
      </c>
      <c r="J19" s="295">
        <f>I19*VLOOKUP($B$9,'Base Costs'!$A$32:$B$37,2,FALSE)</f>
        <v>1053.5714285714284</v>
      </c>
      <c r="K19" s="296">
        <f t="shared" si="2"/>
        <v>463.57142857142844</v>
      </c>
    </row>
    <row r="20" spans="2:11" ht="15" customHeight="1" x14ac:dyDescent="0.2">
      <c r="B20" s="741" t="s">
        <v>454</v>
      </c>
      <c r="C20" s="186">
        <v>2</v>
      </c>
      <c r="D20" s="740" t="s">
        <v>457</v>
      </c>
      <c r="E20" s="187"/>
      <c r="F20" s="302">
        <v>404</v>
      </c>
      <c r="G20" s="295">
        <f t="shared" si="0"/>
        <v>808</v>
      </c>
      <c r="H20" s="298">
        <v>0.28999999999999998</v>
      </c>
      <c r="I20" s="234">
        <f t="shared" si="1"/>
        <v>1138.0281690140846</v>
      </c>
      <c r="J20" s="295">
        <f>I20*VLOOKUP($B$9,'Base Costs'!$A$32:$B$37,2,FALSE)</f>
        <v>1138.0281690140846</v>
      </c>
      <c r="K20" s="296">
        <f t="shared" si="2"/>
        <v>330.0281690140846</v>
      </c>
    </row>
    <row r="21" spans="2:11"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row>
    <row r="22" spans="2:11" ht="15" customHeight="1" x14ac:dyDescent="0.2">
      <c r="B22" s="485"/>
      <c r="C22" s="186"/>
      <c r="D22" s="188"/>
      <c r="E22" s="187"/>
      <c r="F22" s="302">
        <v>0</v>
      </c>
      <c r="G22" s="295">
        <f t="shared" si="0"/>
        <v>0</v>
      </c>
      <c r="H22" s="298">
        <v>0.28999999999999998</v>
      </c>
      <c r="I22" s="234">
        <f t="shared" si="1"/>
        <v>0</v>
      </c>
      <c r="J22" s="295">
        <f>I22*VLOOKUP($B$9,'Base Costs'!$A$32:$B$37,2,FALSE)</f>
        <v>0</v>
      </c>
      <c r="K22" s="296">
        <f t="shared" si="2"/>
        <v>0</v>
      </c>
    </row>
    <row r="23" spans="2:11" ht="15" customHeight="1" x14ac:dyDescent="0.2">
      <c r="B23" s="744" t="s">
        <v>458</v>
      </c>
      <c r="C23" s="186"/>
      <c r="D23" s="188"/>
      <c r="E23" s="187"/>
      <c r="F23" s="302">
        <v>0</v>
      </c>
      <c r="G23" s="295">
        <f t="shared" si="0"/>
        <v>0</v>
      </c>
      <c r="H23" s="298">
        <v>0.28999999999999998</v>
      </c>
      <c r="I23" s="234">
        <f t="shared" si="1"/>
        <v>0</v>
      </c>
      <c r="J23" s="295">
        <f>I23*VLOOKUP($B$9,'Base Costs'!$A$32:$B$37,2,FALSE)</f>
        <v>0</v>
      </c>
      <c r="K23" s="296">
        <f t="shared" si="2"/>
        <v>0</v>
      </c>
    </row>
    <row r="24" spans="2:11" ht="15" customHeight="1" x14ac:dyDescent="0.2">
      <c r="B24" s="745" t="s">
        <v>452</v>
      </c>
      <c r="C24" s="186">
        <v>1</v>
      </c>
      <c r="D24" s="740" t="s">
        <v>453</v>
      </c>
      <c r="E24" s="187"/>
      <c r="F24" s="302">
        <v>250</v>
      </c>
      <c r="G24" s="295">
        <f t="shared" si="0"/>
        <v>250</v>
      </c>
      <c r="H24" s="298">
        <v>0.28999999999999998</v>
      </c>
      <c r="I24" s="234">
        <f t="shared" si="1"/>
        <v>352.11267605633805</v>
      </c>
      <c r="J24" s="295">
        <f>I24*VLOOKUP($B$9,'Base Costs'!$A$32:$B$37,2,FALSE)</f>
        <v>352.11267605633805</v>
      </c>
      <c r="K24" s="296">
        <f t="shared" si="2"/>
        <v>102.11267605633805</v>
      </c>
    </row>
    <row r="25" spans="2:11" ht="15" customHeight="1" x14ac:dyDescent="0.2">
      <c r="B25" s="743" t="s">
        <v>454</v>
      </c>
      <c r="C25" s="186">
        <v>0.5</v>
      </c>
      <c r="D25" s="740" t="s">
        <v>453</v>
      </c>
      <c r="E25" s="187"/>
      <c r="F25" s="302">
        <v>360</v>
      </c>
      <c r="G25" s="295">
        <f t="shared" si="0"/>
        <v>180</v>
      </c>
      <c r="H25" s="298">
        <v>0.28999999999999998</v>
      </c>
      <c r="I25" s="234">
        <f t="shared" si="1"/>
        <v>253.52112676056339</v>
      </c>
      <c r="J25" s="295">
        <f>I25*VLOOKUP($B$9,'Base Costs'!$A$32:$B$37,2,FALSE)</f>
        <v>253.52112676056339</v>
      </c>
      <c r="K25" s="296">
        <f t="shared" si="2"/>
        <v>73.521126760563391</v>
      </c>
    </row>
    <row r="26" spans="2:11" ht="15" customHeight="1" x14ac:dyDescent="0.2">
      <c r="B26" s="486"/>
      <c r="C26" s="186"/>
      <c r="D26" s="188"/>
      <c r="E26" s="187"/>
      <c r="F26" s="302"/>
      <c r="G26" s="295">
        <f t="shared" si="0"/>
        <v>0</v>
      </c>
      <c r="H26" s="298">
        <v>0.28999999999999998</v>
      </c>
      <c r="I26" s="234">
        <f t="shared" si="1"/>
        <v>0</v>
      </c>
      <c r="J26" s="295">
        <f>I26*VLOOKUP($B$9,'Base Costs'!$A$32:$B$37,2,FALSE)</f>
        <v>0</v>
      </c>
      <c r="K26" s="296">
        <f t="shared" si="2"/>
        <v>0</v>
      </c>
    </row>
    <row r="27" spans="2:11" ht="15" customHeight="1" x14ac:dyDescent="0.2">
      <c r="B27" s="746" t="s">
        <v>452</v>
      </c>
      <c r="C27" s="186">
        <v>1</v>
      </c>
      <c r="D27" s="740" t="s">
        <v>457</v>
      </c>
      <c r="E27" s="187"/>
      <c r="F27" s="302">
        <v>250</v>
      </c>
      <c r="G27" s="295">
        <f t="shared" si="0"/>
        <v>250</v>
      </c>
      <c r="H27" s="298">
        <v>0.28999999999999998</v>
      </c>
      <c r="I27" s="234">
        <f t="shared" si="1"/>
        <v>352.11267605633805</v>
      </c>
      <c r="J27" s="295">
        <f>I27*VLOOKUP($B$9,'Base Costs'!$A$32:$B$37,2,FALSE)</f>
        <v>352.11267605633805</v>
      </c>
      <c r="K27" s="296">
        <f t="shared" si="2"/>
        <v>102.11267605633805</v>
      </c>
    </row>
    <row r="28" spans="2:11" ht="15" customHeight="1" x14ac:dyDescent="0.2">
      <c r="B28" s="746" t="s">
        <v>454</v>
      </c>
      <c r="C28" s="186">
        <v>0.5</v>
      </c>
      <c r="D28" s="740" t="s">
        <v>457</v>
      </c>
      <c r="E28" s="187"/>
      <c r="F28" s="302">
        <v>404</v>
      </c>
      <c r="G28" s="295">
        <f t="shared" si="0"/>
        <v>202</v>
      </c>
      <c r="H28" s="298">
        <v>0.28999999999999998</v>
      </c>
      <c r="I28" s="234">
        <f t="shared" si="1"/>
        <v>284.50704225352115</v>
      </c>
      <c r="J28" s="295">
        <f>I28*VLOOKUP($B$9,'Base Costs'!$A$32:$B$37,2,FALSE)</f>
        <v>284.50704225352115</v>
      </c>
      <c r="K28" s="296">
        <f t="shared" si="2"/>
        <v>82.507042253521149</v>
      </c>
    </row>
    <row r="29" spans="2:11" ht="15" customHeight="1" x14ac:dyDescent="0.2">
      <c r="B29" s="486"/>
      <c r="C29" s="186"/>
      <c r="D29" s="188"/>
      <c r="E29" s="187"/>
      <c r="F29" s="302">
        <v>0</v>
      </c>
      <c r="G29" s="295">
        <f t="shared" si="0"/>
        <v>0</v>
      </c>
      <c r="H29" s="298">
        <v>0.28999999999999998</v>
      </c>
      <c r="I29" s="234">
        <f t="shared" si="1"/>
        <v>0</v>
      </c>
      <c r="J29" s="295">
        <f>I29*VLOOKUP($B$9,'Base Costs'!$A$32:$B$37,2,FALSE)</f>
        <v>0</v>
      </c>
      <c r="K29" s="296">
        <f t="shared" si="2"/>
        <v>0</v>
      </c>
    </row>
    <row r="30" spans="2:11" ht="15" customHeight="1" x14ac:dyDescent="0.2">
      <c r="B30" s="486"/>
      <c r="C30" s="186"/>
      <c r="D30" s="188"/>
      <c r="E30" s="187"/>
      <c r="F30" s="302">
        <v>0</v>
      </c>
      <c r="G30" s="295">
        <f t="shared" si="0"/>
        <v>0</v>
      </c>
      <c r="H30" s="298">
        <v>0.28999999999999998</v>
      </c>
      <c r="I30" s="234">
        <f t="shared" si="1"/>
        <v>0</v>
      </c>
      <c r="J30" s="295">
        <f>I30*VLOOKUP($B$9,'Base Costs'!$A$32:$B$37,2,FALSE)</f>
        <v>0</v>
      </c>
      <c r="K30" s="296">
        <f t="shared" si="2"/>
        <v>0</v>
      </c>
    </row>
    <row r="31" spans="2:11" ht="15" customHeight="1" x14ac:dyDescent="0.2">
      <c r="B31" s="747" t="s">
        <v>459</v>
      </c>
      <c r="C31" s="186"/>
      <c r="D31" s="188"/>
      <c r="E31" s="187"/>
      <c r="F31" s="302">
        <v>0</v>
      </c>
      <c r="G31" s="295">
        <f t="shared" si="0"/>
        <v>0</v>
      </c>
      <c r="H31" s="298">
        <v>0.28999999999999998</v>
      </c>
      <c r="I31" s="234">
        <f t="shared" si="1"/>
        <v>0</v>
      </c>
      <c r="J31" s="295">
        <f>I31*VLOOKUP($B$9,'Base Costs'!$A$32:$B$37,2,FALSE)</f>
        <v>0</v>
      </c>
      <c r="K31" s="296">
        <f t="shared" si="2"/>
        <v>0</v>
      </c>
    </row>
    <row r="32" spans="2:11" ht="15" customHeight="1" x14ac:dyDescent="0.2">
      <c r="B32" s="746" t="s">
        <v>452</v>
      </c>
      <c r="C32" s="186">
        <v>1</v>
      </c>
      <c r="D32" s="740" t="s">
        <v>453</v>
      </c>
      <c r="E32" s="187"/>
      <c r="F32" s="302">
        <v>555</v>
      </c>
      <c r="G32" s="295">
        <f t="shared" si="0"/>
        <v>555</v>
      </c>
      <c r="H32" s="298">
        <v>0.28999999999999998</v>
      </c>
      <c r="I32" s="234">
        <f t="shared" si="1"/>
        <v>781.69014084507046</v>
      </c>
      <c r="J32" s="295">
        <f>I32*VLOOKUP($B$9,'Base Costs'!$A$32:$B$37,2,FALSE)</f>
        <v>781.69014084507046</v>
      </c>
      <c r="K32" s="296">
        <f t="shared" si="2"/>
        <v>226.69014084507046</v>
      </c>
    </row>
    <row r="33" spans="2:11" ht="15" customHeight="1" x14ac:dyDescent="0.2">
      <c r="B33" s="486" t="s">
        <v>454</v>
      </c>
      <c r="C33" s="186">
        <v>1</v>
      </c>
      <c r="D33" s="740" t="s">
        <v>453</v>
      </c>
      <c r="E33" s="187"/>
      <c r="F33" s="302">
        <v>360</v>
      </c>
      <c r="G33" s="295">
        <f t="shared" si="0"/>
        <v>360</v>
      </c>
      <c r="H33" s="298">
        <v>0.28999999999999998</v>
      </c>
      <c r="I33" s="234">
        <f t="shared" si="1"/>
        <v>507.04225352112678</v>
      </c>
      <c r="J33" s="295">
        <f>I33*VLOOKUP($B$9,'Base Costs'!$A$32:$B$37,2,FALSE)</f>
        <v>507.04225352112678</v>
      </c>
      <c r="K33" s="296">
        <f t="shared" si="2"/>
        <v>147.04225352112678</v>
      </c>
    </row>
    <row r="34" spans="2:11" ht="15" customHeight="1" x14ac:dyDescent="0.2">
      <c r="B34" s="486" t="s">
        <v>460</v>
      </c>
      <c r="C34" s="186">
        <v>2</v>
      </c>
      <c r="D34" s="740" t="s">
        <v>453</v>
      </c>
      <c r="E34" s="187"/>
      <c r="F34" s="302">
        <v>75</v>
      </c>
      <c r="G34" s="295">
        <f t="shared" si="0"/>
        <v>150</v>
      </c>
      <c r="H34" s="298">
        <v>0.28999999999999998</v>
      </c>
      <c r="I34" s="234">
        <f t="shared" si="1"/>
        <v>211.26760563380282</v>
      </c>
      <c r="J34" s="295">
        <f>I34*VLOOKUP($B$9,'Base Costs'!$A$32:$B$37,2,FALSE)</f>
        <v>211.26760563380282</v>
      </c>
      <c r="K34" s="296">
        <f t="shared" si="2"/>
        <v>61.267605633802816</v>
      </c>
    </row>
    <row r="35" spans="2:11" ht="15" customHeight="1" x14ac:dyDescent="0.2">
      <c r="B35" s="486" t="s">
        <v>456</v>
      </c>
      <c r="C35" s="186">
        <v>1</v>
      </c>
      <c r="D35" s="740" t="s">
        <v>453</v>
      </c>
      <c r="E35" s="187"/>
      <c r="F35" s="302">
        <v>250</v>
      </c>
      <c r="G35" s="295">
        <f t="shared" si="0"/>
        <v>250</v>
      </c>
      <c r="H35" s="298">
        <v>0.28999999999999998</v>
      </c>
      <c r="I35" s="234">
        <f t="shared" si="1"/>
        <v>352.11267605633805</v>
      </c>
      <c r="J35" s="295">
        <f>I35*VLOOKUP($B$9,'Base Costs'!$A$32:$B$37,2,FALSE)</f>
        <v>352.11267605633805</v>
      </c>
      <c r="K35" s="296">
        <f t="shared" si="2"/>
        <v>102.11267605633805</v>
      </c>
    </row>
    <row r="36" spans="2:11" ht="15" customHeight="1" x14ac:dyDescent="0.2">
      <c r="B36" s="486"/>
      <c r="C36" s="186"/>
      <c r="D36" s="188"/>
      <c r="E36" s="187"/>
      <c r="F36" s="302">
        <f>26*1.03</f>
        <v>26.78</v>
      </c>
      <c r="G36" s="295">
        <f t="shared" si="0"/>
        <v>0</v>
      </c>
      <c r="H36" s="298">
        <v>0.28999999999999998</v>
      </c>
      <c r="I36" s="234">
        <f t="shared" si="1"/>
        <v>0</v>
      </c>
      <c r="J36" s="295">
        <f>I36*VLOOKUP($B$9,'Base Costs'!$A$32:$B$37,2,FALSE)</f>
        <v>0</v>
      </c>
      <c r="K36" s="296">
        <f t="shared" si="2"/>
        <v>0</v>
      </c>
    </row>
    <row r="37" spans="2:11" ht="15" customHeight="1" x14ac:dyDescent="0.2">
      <c r="B37" s="746" t="s">
        <v>452</v>
      </c>
      <c r="C37" s="186">
        <v>1</v>
      </c>
      <c r="D37" s="740" t="s">
        <v>457</v>
      </c>
      <c r="E37" s="187"/>
      <c r="F37" s="302">
        <v>555</v>
      </c>
      <c r="G37" s="295">
        <f t="shared" si="0"/>
        <v>555</v>
      </c>
      <c r="H37" s="298">
        <v>0.28999999999999998</v>
      </c>
      <c r="I37" s="234">
        <f t="shared" si="1"/>
        <v>781.69014084507046</v>
      </c>
      <c r="J37" s="295">
        <f>I37*VLOOKUP($B$9,'Base Costs'!$A$32:$B$37,2,FALSE)</f>
        <v>781.69014084507046</v>
      </c>
      <c r="K37" s="296">
        <f t="shared" si="2"/>
        <v>226.69014084507046</v>
      </c>
    </row>
    <row r="38" spans="2:11" ht="15" customHeight="1" x14ac:dyDescent="0.2">
      <c r="B38" s="486" t="s">
        <v>454</v>
      </c>
      <c r="C38" s="186">
        <v>1</v>
      </c>
      <c r="D38" s="740" t="s">
        <v>457</v>
      </c>
      <c r="E38" s="187"/>
      <c r="F38" s="302">
        <v>404</v>
      </c>
      <c r="G38" s="295">
        <f t="shared" si="0"/>
        <v>404</v>
      </c>
      <c r="H38" s="298">
        <v>0.28999999999999998</v>
      </c>
      <c r="I38" s="234">
        <f t="shared" si="1"/>
        <v>569.0140845070423</v>
      </c>
      <c r="J38" s="295">
        <f>I38*VLOOKUP($B$9,'Base Costs'!$A$32:$B$37,2,FALSE)</f>
        <v>569.0140845070423</v>
      </c>
      <c r="K38" s="296">
        <f t="shared" si="2"/>
        <v>165.0140845070423</v>
      </c>
    </row>
    <row r="39" spans="2:11" ht="15" customHeight="1" x14ac:dyDescent="0.2">
      <c r="B39" s="486" t="s">
        <v>460</v>
      </c>
      <c r="C39" s="186">
        <v>2</v>
      </c>
      <c r="D39" s="740" t="s">
        <v>457</v>
      </c>
      <c r="E39" s="187"/>
      <c r="F39" s="302">
        <v>75</v>
      </c>
      <c r="G39" s="295">
        <f t="shared" si="0"/>
        <v>150</v>
      </c>
      <c r="H39" s="298">
        <v>0.28999999999999998</v>
      </c>
      <c r="I39" s="234">
        <f t="shared" si="1"/>
        <v>211.26760563380282</v>
      </c>
      <c r="J39" s="295">
        <f>I39*VLOOKUP($B$9,'Base Costs'!$A$32:$B$37,2,FALSE)</f>
        <v>211.26760563380282</v>
      </c>
      <c r="K39" s="296">
        <f t="shared" si="2"/>
        <v>61.267605633802816</v>
      </c>
    </row>
    <row r="40" spans="2:11" ht="15" customHeight="1" x14ac:dyDescent="0.2">
      <c r="B40" s="487"/>
      <c r="C40" s="186"/>
      <c r="D40" s="695"/>
      <c r="E40" s="187"/>
      <c r="F40" s="302"/>
      <c r="G40" s="295">
        <f t="shared" si="0"/>
        <v>0</v>
      </c>
      <c r="H40" s="298">
        <v>0.28999999999999998</v>
      </c>
      <c r="I40" s="234">
        <f t="shared" si="1"/>
        <v>0</v>
      </c>
      <c r="J40" s="295">
        <f>I40*VLOOKUP($B$9,'Base Costs'!$A$32:$B$37,2,FALSE)</f>
        <v>0</v>
      </c>
      <c r="K40" s="296">
        <f t="shared" si="2"/>
        <v>0</v>
      </c>
    </row>
    <row r="41" spans="2:11" ht="15" customHeight="1" x14ac:dyDescent="0.2">
      <c r="B41" s="487"/>
      <c r="C41" s="186"/>
      <c r="D41" s="696"/>
      <c r="E41" s="187"/>
      <c r="F41" s="302"/>
      <c r="G41" s="295">
        <f t="shared" si="0"/>
        <v>0</v>
      </c>
      <c r="H41" s="298">
        <v>0.28999999999999998</v>
      </c>
      <c r="I41" s="234">
        <f t="shared" si="1"/>
        <v>0</v>
      </c>
      <c r="J41" s="295">
        <f>I41*VLOOKUP($B$9,'Base Costs'!$A$32:$B$37,2,FALSE)</f>
        <v>0</v>
      </c>
      <c r="K41" s="296">
        <f t="shared" si="2"/>
        <v>0</v>
      </c>
    </row>
    <row r="42" spans="2:11" ht="15" customHeight="1" x14ac:dyDescent="0.2">
      <c r="B42" s="747" t="s">
        <v>461</v>
      </c>
      <c r="C42" s="186"/>
      <c r="D42" s="696"/>
      <c r="E42" s="187"/>
      <c r="F42" s="302"/>
      <c r="G42" s="295">
        <f t="shared" si="0"/>
        <v>0</v>
      </c>
      <c r="H42" s="298">
        <v>0.28999999999999998</v>
      </c>
      <c r="I42" s="234">
        <f t="shared" si="1"/>
        <v>0</v>
      </c>
      <c r="J42" s="295">
        <f>I42*VLOOKUP($B$9,'Base Costs'!$A$32:$B$37,2,FALSE)</f>
        <v>0</v>
      </c>
      <c r="K42" s="296">
        <f t="shared" si="2"/>
        <v>0</v>
      </c>
    </row>
    <row r="43" spans="2:11" ht="15" customHeight="1" x14ac:dyDescent="0.2">
      <c r="B43" s="742" t="s">
        <v>452</v>
      </c>
      <c r="C43" s="186">
        <v>1</v>
      </c>
      <c r="D43" s="740" t="s">
        <v>453</v>
      </c>
      <c r="E43" s="187"/>
      <c r="F43" s="302">
        <v>250</v>
      </c>
      <c r="G43" s="295">
        <f t="shared" si="0"/>
        <v>250</v>
      </c>
      <c r="H43" s="298">
        <v>0.28999999999999998</v>
      </c>
      <c r="I43" s="234">
        <f t="shared" si="1"/>
        <v>352.11267605633805</v>
      </c>
      <c r="J43" s="295">
        <f>I43*VLOOKUP($B$9,'Base Costs'!$A$32:$B$37,2,FALSE)</f>
        <v>352.11267605633805</v>
      </c>
      <c r="K43" s="296">
        <f t="shared" si="2"/>
        <v>102.11267605633805</v>
      </c>
    </row>
    <row r="44" spans="2:11" ht="15" customHeight="1" x14ac:dyDescent="0.2">
      <c r="B44" s="742" t="s">
        <v>454</v>
      </c>
      <c r="C44" s="186">
        <v>1</v>
      </c>
      <c r="D44" s="740" t="s">
        <v>453</v>
      </c>
      <c r="E44" s="187"/>
      <c r="F44" s="302">
        <v>360</v>
      </c>
      <c r="G44" s="295">
        <f t="shared" si="0"/>
        <v>360</v>
      </c>
      <c r="H44" s="298">
        <v>0.28999999999999998</v>
      </c>
      <c r="I44" s="234">
        <f t="shared" si="1"/>
        <v>507.04225352112678</v>
      </c>
      <c r="J44" s="295">
        <f>I44*VLOOKUP($B$9,'Base Costs'!$A$32:$B$37,2,FALSE)</f>
        <v>507.04225352112678</v>
      </c>
      <c r="K44" s="296">
        <f t="shared" si="2"/>
        <v>147.04225352112678</v>
      </c>
    </row>
    <row r="45" spans="2:11" ht="15" customHeight="1" x14ac:dyDescent="0.2">
      <c r="B45" s="742" t="s">
        <v>460</v>
      </c>
      <c r="C45" s="186">
        <v>2</v>
      </c>
      <c r="D45" s="740" t="s">
        <v>453</v>
      </c>
      <c r="E45" s="187"/>
      <c r="F45" s="302">
        <v>75</v>
      </c>
      <c r="G45" s="295">
        <f t="shared" si="0"/>
        <v>150</v>
      </c>
      <c r="H45" s="298">
        <v>0.28999999999999998</v>
      </c>
      <c r="I45" s="234">
        <f t="shared" si="1"/>
        <v>211.26760563380282</v>
      </c>
      <c r="J45" s="295">
        <f>I45*VLOOKUP($B$9,'Base Costs'!$A$32:$B$37,2,FALSE)</f>
        <v>211.26760563380282</v>
      </c>
      <c r="K45" s="296">
        <f t="shared" si="2"/>
        <v>61.267605633802816</v>
      </c>
    </row>
    <row r="46" spans="2:11" ht="15" customHeight="1" x14ac:dyDescent="0.2">
      <c r="B46" s="742" t="s">
        <v>456</v>
      </c>
      <c r="C46" s="186">
        <v>1</v>
      </c>
      <c r="D46" s="740" t="s">
        <v>453</v>
      </c>
      <c r="E46" s="187"/>
      <c r="F46" s="302">
        <v>250</v>
      </c>
      <c r="G46" s="295">
        <f t="shared" si="0"/>
        <v>250</v>
      </c>
      <c r="H46" s="298">
        <v>0.28999999999999998</v>
      </c>
      <c r="I46" s="234">
        <f t="shared" si="1"/>
        <v>352.11267605633805</v>
      </c>
      <c r="J46" s="295">
        <f>I46*VLOOKUP($B$9,'Base Costs'!$A$32:$B$37,2,FALSE)</f>
        <v>352.11267605633805</v>
      </c>
      <c r="K46" s="296">
        <f t="shared" si="2"/>
        <v>102.11267605633805</v>
      </c>
    </row>
    <row r="47" spans="2:11" ht="15" customHeight="1" x14ac:dyDescent="0.2">
      <c r="B47" s="742"/>
      <c r="C47" s="186"/>
      <c r="D47" s="980"/>
      <c r="E47" s="981"/>
      <c r="F47" s="302">
        <v>550</v>
      </c>
      <c r="G47" s="295">
        <f t="shared" si="0"/>
        <v>0</v>
      </c>
      <c r="H47" s="298">
        <v>0.28999999999999998</v>
      </c>
      <c r="I47" s="234">
        <f t="shared" si="1"/>
        <v>0</v>
      </c>
      <c r="J47" s="295">
        <f>I47*VLOOKUP($B$9,'Base Costs'!$A$32:$B$37,2,FALSE)</f>
        <v>0</v>
      </c>
      <c r="K47" s="296">
        <f t="shared" si="2"/>
        <v>0</v>
      </c>
    </row>
    <row r="48" spans="2:11" ht="15" customHeight="1" x14ac:dyDescent="0.2">
      <c r="B48" s="742" t="s">
        <v>452</v>
      </c>
      <c r="C48" s="186">
        <v>1</v>
      </c>
      <c r="D48" s="740" t="s">
        <v>457</v>
      </c>
      <c r="E48" s="187"/>
      <c r="F48" s="302">
        <v>75</v>
      </c>
      <c r="G48" s="295">
        <f t="shared" si="0"/>
        <v>75</v>
      </c>
      <c r="H48" s="298">
        <v>0.28999999999999998</v>
      </c>
      <c r="I48" s="234">
        <f t="shared" si="1"/>
        <v>105.63380281690141</v>
      </c>
      <c r="J48" s="295">
        <f>I48*VLOOKUP($B$9,'Base Costs'!$A$32:$B$37,2,FALSE)</f>
        <v>105.63380281690141</v>
      </c>
      <c r="K48" s="296">
        <f t="shared" si="2"/>
        <v>30.633802816901408</v>
      </c>
    </row>
    <row r="49" spans="2:21" ht="15" customHeight="1" x14ac:dyDescent="0.2">
      <c r="B49" s="742" t="s">
        <v>454</v>
      </c>
      <c r="C49" s="186">
        <v>1</v>
      </c>
      <c r="D49" s="740" t="s">
        <v>457</v>
      </c>
      <c r="E49" s="187"/>
      <c r="F49" s="302">
        <v>404</v>
      </c>
      <c r="G49" s="295">
        <f t="shared" si="0"/>
        <v>404</v>
      </c>
      <c r="H49" s="298">
        <v>0.28999999999999998</v>
      </c>
      <c r="I49" s="234">
        <f t="shared" si="1"/>
        <v>569.0140845070423</v>
      </c>
      <c r="J49" s="295">
        <f>I49*VLOOKUP($B$9,'Base Costs'!$A$32:$B$37,2,FALSE)</f>
        <v>569.0140845070423</v>
      </c>
      <c r="K49" s="296">
        <f t="shared" si="2"/>
        <v>165.0140845070423</v>
      </c>
    </row>
    <row r="50" spans="2:21" ht="15" customHeight="1" x14ac:dyDescent="0.2">
      <c r="B50" s="742" t="s">
        <v>460</v>
      </c>
      <c r="C50" s="186">
        <v>2</v>
      </c>
      <c r="D50" s="740" t="s">
        <v>457</v>
      </c>
      <c r="E50" s="187"/>
      <c r="F50" s="302">
        <v>75</v>
      </c>
      <c r="G50" s="295">
        <f t="shared" si="0"/>
        <v>150</v>
      </c>
      <c r="H50" s="298">
        <v>0.28999999999999998</v>
      </c>
      <c r="I50" s="234">
        <f t="shared" si="1"/>
        <v>211.26760563380282</v>
      </c>
      <c r="J50" s="295">
        <f>I50*VLOOKUP($B$9,'Base Costs'!$A$32:$B$37,2,FALSE)</f>
        <v>211.26760563380282</v>
      </c>
      <c r="K50" s="296">
        <f t="shared" si="2"/>
        <v>61.267605633802816</v>
      </c>
    </row>
    <row r="51" spans="2:21" ht="15" customHeight="1" x14ac:dyDescent="0.2">
      <c r="B51" s="488"/>
      <c r="C51" s="186"/>
      <c r="D51" s="190"/>
      <c r="E51" s="187"/>
      <c r="F51" s="302">
        <v>0</v>
      </c>
      <c r="G51" s="295">
        <f t="shared" si="0"/>
        <v>0</v>
      </c>
      <c r="H51" s="298">
        <v>0.28999999999999998</v>
      </c>
      <c r="I51" s="234">
        <f t="shared" si="1"/>
        <v>0</v>
      </c>
      <c r="J51" s="295">
        <f>I51*VLOOKUP($B$9,'Base Costs'!$A$32:$B$37,2,FALSE)</f>
        <v>0</v>
      </c>
      <c r="K51" s="296">
        <f t="shared" si="2"/>
        <v>0</v>
      </c>
    </row>
    <row r="52" spans="2:21" ht="15" customHeight="1" x14ac:dyDescent="0.2">
      <c r="B52" s="488"/>
      <c r="C52" s="186"/>
      <c r="D52" s="188"/>
      <c r="E52" s="187"/>
      <c r="F52" s="302">
        <v>0</v>
      </c>
      <c r="G52" s="295">
        <f t="shared" si="0"/>
        <v>0</v>
      </c>
      <c r="H52" s="298">
        <v>0.28999999999999998</v>
      </c>
      <c r="I52" s="234">
        <f t="shared" si="1"/>
        <v>0</v>
      </c>
      <c r="J52" s="295">
        <f>I52*VLOOKUP($B$9,'Base Costs'!$A$32:$B$37,2,FALSE)</f>
        <v>0</v>
      </c>
      <c r="K52" s="296">
        <f t="shared" si="2"/>
        <v>0</v>
      </c>
    </row>
    <row r="53" spans="2:21" ht="15" customHeight="1" x14ac:dyDescent="0.2">
      <c r="B53" s="488"/>
      <c r="C53" s="186"/>
      <c r="D53" s="188"/>
      <c r="E53" s="187"/>
      <c r="F53" s="302">
        <v>0</v>
      </c>
      <c r="G53" s="295">
        <f t="shared" si="0"/>
        <v>0</v>
      </c>
      <c r="H53" s="298">
        <v>0.28999999999999998</v>
      </c>
      <c r="I53" s="234">
        <f t="shared" si="1"/>
        <v>0</v>
      </c>
      <c r="J53" s="295">
        <f>I53*VLOOKUP($B$9,'Base Costs'!$A$32:$B$37,2,FALSE)</f>
        <v>0</v>
      </c>
      <c r="K53" s="296">
        <f t="shared" si="2"/>
        <v>0</v>
      </c>
    </row>
    <row r="54" spans="2:21" ht="15" customHeight="1" x14ac:dyDescent="0.2">
      <c r="B54" s="488"/>
      <c r="C54" s="186"/>
      <c r="D54" s="188"/>
      <c r="E54" s="187"/>
      <c r="F54" s="302">
        <v>0</v>
      </c>
      <c r="G54" s="295">
        <f t="shared" si="0"/>
        <v>0</v>
      </c>
      <c r="H54" s="298">
        <v>0.28999999999999998</v>
      </c>
      <c r="I54" s="234">
        <f t="shared" si="1"/>
        <v>0</v>
      </c>
      <c r="J54" s="295">
        <f>I54*VLOOKUP($B$9,'Base Costs'!$A$32:$B$37,2,FALSE)</f>
        <v>0</v>
      </c>
      <c r="K54" s="296">
        <f t="shared" si="2"/>
        <v>0</v>
      </c>
    </row>
    <row r="55" spans="2:21" ht="15" customHeight="1" x14ac:dyDescent="0.2">
      <c r="B55" s="110"/>
      <c r="C55" s="116"/>
      <c r="D55" s="108"/>
      <c r="F55" s="242"/>
      <c r="G55" s="242"/>
      <c r="H55" s="247"/>
      <c r="I55" s="242"/>
      <c r="J55" s="242"/>
      <c r="K55" s="248"/>
    </row>
    <row r="56" spans="2:21"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R56" s="95"/>
      <c r="U56" s="96"/>
    </row>
    <row r="57" spans="2:21" s="92" customFormat="1" ht="15" customHeight="1" x14ac:dyDescent="0.15">
      <c r="B57" s="492" t="s">
        <v>462</v>
      </c>
      <c r="C57" s="33"/>
      <c r="D57" s="233" t="s">
        <v>95</v>
      </c>
      <c r="E57" s="28"/>
      <c r="F57" s="302">
        <f>VLOOKUP(D57,'Base Costs'!E4:G221,2,FALSE)</f>
        <v>0</v>
      </c>
      <c r="G57" s="295">
        <f t="shared" ref="G57:G66" si="3">C57*F57</f>
        <v>0</v>
      </c>
      <c r="H57" s="298">
        <v>0.33</v>
      </c>
      <c r="I57" s="234">
        <f t="shared" ref="I57:I66" si="4">G57/(1-H57)*(1+$C$9)</f>
        <v>0</v>
      </c>
      <c r="J57" s="295">
        <f>I57*VLOOKUP($B$9,'Base Costs'!$A$32:$B$37,2,FALSE)</f>
        <v>0</v>
      </c>
      <c r="K57" s="296">
        <f t="shared" ref="K57:K66" si="5">I57-G57</f>
        <v>0</v>
      </c>
      <c r="R57" s="95"/>
      <c r="U57" s="96"/>
    </row>
    <row r="58" spans="2:21" s="92" customFormat="1" ht="15" customHeight="1" x14ac:dyDescent="0.15">
      <c r="B58" s="487" t="s">
        <v>463</v>
      </c>
      <c r="C58" s="33"/>
      <c r="D58" s="233" t="s">
        <v>464</v>
      </c>
      <c r="E58" s="28"/>
      <c r="F58" s="302">
        <f>VLOOKUP(D58,'Base Costs'!A4:B28,2,FALSE)</f>
        <v>275.60000000000002</v>
      </c>
      <c r="G58" s="295">
        <f t="shared" si="3"/>
        <v>0</v>
      </c>
      <c r="H58" s="303">
        <v>0.33</v>
      </c>
      <c r="I58" s="234">
        <f t="shared" si="4"/>
        <v>0</v>
      </c>
      <c r="J58" s="295">
        <f>I58*VLOOKUP($B$9,'Base Costs'!$A$32:$B$37,2,FALSE)</f>
        <v>0</v>
      </c>
      <c r="K58" s="296">
        <f t="shared" si="5"/>
        <v>0</v>
      </c>
      <c r="R58" s="95"/>
      <c r="U58" s="96"/>
    </row>
    <row r="59" spans="2:21" s="92" customFormat="1" ht="15" customHeight="1" x14ac:dyDescent="0.15">
      <c r="B59" s="487" t="s">
        <v>96</v>
      </c>
      <c r="C59" s="33"/>
      <c r="D59" s="28" t="s">
        <v>97</v>
      </c>
      <c r="E59" s="28"/>
      <c r="F59" s="302">
        <f>375*1.03</f>
        <v>386.25</v>
      </c>
      <c r="G59" s="295">
        <f t="shared" si="3"/>
        <v>0</v>
      </c>
      <c r="H59" s="303">
        <v>0.33</v>
      </c>
      <c r="I59" s="234">
        <f t="shared" si="4"/>
        <v>0</v>
      </c>
      <c r="J59" s="295">
        <f>I59*VLOOKUP($B$9,'Base Costs'!$A$32:$B$37,2,FALSE)</f>
        <v>0</v>
      </c>
      <c r="K59" s="296">
        <f t="shared" si="5"/>
        <v>0</v>
      </c>
      <c r="R59" s="95"/>
      <c r="U59" s="96"/>
    </row>
    <row r="60" spans="2:21" s="92" customFormat="1" ht="15" customHeight="1" x14ac:dyDescent="0.15">
      <c r="B60" s="487" t="s">
        <v>465</v>
      </c>
      <c r="C60" s="33"/>
      <c r="D60" s="28"/>
      <c r="E60" s="28"/>
      <c r="F60" s="302">
        <v>0</v>
      </c>
      <c r="G60" s="295">
        <f t="shared" si="3"/>
        <v>0</v>
      </c>
      <c r="H60" s="303">
        <v>0.33</v>
      </c>
      <c r="I60" s="234">
        <f t="shared" si="4"/>
        <v>0</v>
      </c>
      <c r="J60" s="295">
        <f>I60*VLOOKUP($B$9,'Base Costs'!$A$32:$B$37,2,FALSE)</f>
        <v>0</v>
      </c>
      <c r="K60" s="296">
        <f t="shared" si="5"/>
        <v>0</v>
      </c>
      <c r="R60" s="95"/>
      <c r="U60" s="96"/>
    </row>
    <row r="61" spans="2:21" s="92" customFormat="1" ht="15" customHeight="1" x14ac:dyDescent="0.15">
      <c r="B61" s="487" t="s">
        <v>100</v>
      </c>
      <c r="C61" s="33"/>
      <c r="D61" s="28" t="s">
        <v>466</v>
      </c>
      <c r="E61" s="28"/>
      <c r="F61" s="302">
        <v>610</v>
      </c>
      <c r="G61" s="295">
        <f t="shared" si="3"/>
        <v>0</v>
      </c>
      <c r="H61" s="303">
        <v>0.4</v>
      </c>
      <c r="I61" s="234">
        <f t="shared" si="4"/>
        <v>0</v>
      </c>
      <c r="J61" s="295">
        <f>I61*VLOOKUP($B$9,'Base Costs'!$A$32:$B$37,2,FALSE)</f>
        <v>0</v>
      </c>
      <c r="K61" s="296">
        <f t="shared" si="5"/>
        <v>0</v>
      </c>
      <c r="R61" s="95"/>
      <c r="U61" s="96"/>
    </row>
    <row r="62" spans="2:21" s="92" customFormat="1" ht="15" customHeight="1" x14ac:dyDescent="0.15">
      <c r="B62" s="487" t="s">
        <v>102</v>
      </c>
      <c r="C62" s="33"/>
      <c r="D62" s="28" t="s">
        <v>466</v>
      </c>
      <c r="E62" s="28"/>
      <c r="F62" s="302">
        <v>1220</v>
      </c>
      <c r="G62" s="295">
        <f t="shared" si="3"/>
        <v>0</v>
      </c>
      <c r="H62" s="303">
        <v>0.4</v>
      </c>
      <c r="I62" s="234">
        <f t="shared" si="4"/>
        <v>0</v>
      </c>
      <c r="J62" s="295">
        <f>I62*VLOOKUP($B$9,'Base Costs'!$A$32:$B$37,2,FALSE)</f>
        <v>0</v>
      </c>
      <c r="K62" s="296">
        <f t="shared" si="5"/>
        <v>0</v>
      </c>
      <c r="R62" s="95"/>
      <c r="U62" s="96"/>
    </row>
    <row r="63" spans="2:21" s="92" customFormat="1" ht="15" customHeight="1" x14ac:dyDescent="0.15">
      <c r="B63" s="487" t="s">
        <v>467</v>
      </c>
      <c r="C63" s="33"/>
      <c r="D63" s="28" t="s">
        <v>106</v>
      </c>
      <c r="E63" s="28"/>
      <c r="F63" s="302">
        <v>0</v>
      </c>
      <c r="G63" s="295">
        <f t="shared" si="3"/>
        <v>0</v>
      </c>
      <c r="H63" s="303">
        <v>0.33</v>
      </c>
      <c r="I63" s="234">
        <f t="shared" si="4"/>
        <v>0</v>
      </c>
      <c r="J63" s="295">
        <f>I63*VLOOKUP($B$9,'Base Costs'!$A$32:$B$37,2,FALSE)</f>
        <v>0</v>
      </c>
      <c r="K63" s="296">
        <f t="shared" si="5"/>
        <v>0</v>
      </c>
      <c r="R63" s="95"/>
      <c r="U63" s="96"/>
    </row>
    <row r="64" spans="2:21" s="92" customFormat="1" ht="15" customHeight="1" x14ac:dyDescent="0.15">
      <c r="B64" s="487" t="s">
        <v>468</v>
      </c>
      <c r="C64" s="33"/>
      <c r="D64" s="28" t="s">
        <v>106</v>
      </c>
      <c r="E64" s="28"/>
      <c r="F64" s="302">
        <v>0</v>
      </c>
      <c r="G64" s="295">
        <f t="shared" si="3"/>
        <v>0</v>
      </c>
      <c r="H64" s="303">
        <v>0.33</v>
      </c>
      <c r="I64" s="234">
        <f t="shared" si="4"/>
        <v>0</v>
      </c>
      <c r="J64" s="295">
        <f>I64*VLOOKUP($B$9,'Base Costs'!$A$32:$B$37,2,FALSE)</f>
        <v>0</v>
      </c>
      <c r="K64" s="296">
        <f t="shared" si="5"/>
        <v>0</v>
      </c>
      <c r="R64" s="95"/>
      <c r="U64" s="96"/>
    </row>
    <row r="65" spans="2:21" s="92" customFormat="1" ht="15" customHeight="1" x14ac:dyDescent="0.15">
      <c r="B65" s="487" t="s">
        <v>469</v>
      </c>
      <c r="C65" s="33"/>
      <c r="D65" s="28"/>
      <c r="E65" s="28"/>
      <c r="F65" s="302">
        <v>0</v>
      </c>
      <c r="G65" s="295">
        <f t="shared" si="3"/>
        <v>0</v>
      </c>
      <c r="H65" s="303">
        <v>0.33</v>
      </c>
      <c r="I65" s="234">
        <f t="shared" si="4"/>
        <v>0</v>
      </c>
      <c r="J65" s="295">
        <f>I65*VLOOKUP($B$9,'Base Costs'!$A$32:$B$37,2,FALSE)</f>
        <v>0</v>
      </c>
      <c r="K65" s="296">
        <f t="shared" si="5"/>
        <v>0</v>
      </c>
      <c r="R65" s="95"/>
      <c r="U65" s="96"/>
    </row>
    <row r="66" spans="2:21" s="92" customFormat="1" ht="15" customHeight="1" x14ac:dyDescent="0.15">
      <c r="B66" s="487" t="s">
        <v>107</v>
      </c>
      <c r="C66" s="33"/>
      <c r="D66" s="28" t="s">
        <v>470</v>
      </c>
      <c r="E66" s="28"/>
      <c r="F66" s="302">
        <v>604</v>
      </c>
      <c r="G66" s="295">
        <f t="shared" si="3"/>
        <v>0</v>
      </c>
      <c r="H66" s="303">
        <v>0.33</v>
      </c>
      <c r="I66" s="234">
        <f t="shared" si="4"/>
        <v>0</v>
      </c>
      <c r="J66" s="295">
        <f>I66*VLOOKUP($B$9,'Base Costs'!$A$32:$B$37,2,FALSE)</f>
        <v>0</v>
      </c>
      <c r="K66" s="296">
        <f t="shared" si="5"/>
        <v>0</v>
      </c>
      <c r="R66" s="95"/>
      <c r="U66" s="96"/>
    </row>
    <row r="67" spans="2:21" ht="15" customHeight="1" x14ac:dyDescent="0.2">
      <c r="D67" s="115"/>
    </row>
    <row r="68" spans="2:21" ht="15" customHeight="1" x14ac:dyDescent="0.2">
      <c r="B68" s="139" t="s">
        <v>46</v>
      </c>
      <c r="C68" s="140"/>
      <c r="D68" s="141"/>
      <c r="E68" s="141"/>
      <c r="F68" s="140"/>
      <c r="G68" s="142"/>
      <c r="H68" s="140"/>
      <c r="I68" s="140"/>
      <c r="J68" s="140"/>
      <c r="K68" s="140"/>
    </row>
    <row r="69" spans="2:21" ht="15" customHeight="1" x14ac:dyDescent="0.2">
      <c r="B69" s="412"/>
      <c r="C69" s="413"/>
      <c r="D69" s="143"/>
      <c r="E69" s="145"/>
      <c r="F69" s="149"/>
      <c r="G69" s="149"/>
      <c r="H69" s="144"/>
      <c r="I69" s="144"/>
      <c r="J69" s="144"/>
      <c r="K69" s="146"/>
    </row>
    <row r="70" spans="2:21" ht="15" customHeight="1" x14ac:dyDescent="0.2">
      <c r="B70" s="412"/>
      <c r="C70" s="413"/>
      <c r="D70" s="143"/>
      <c r="E70" s="145"/>
      <c r="F70" s="149"/>
      <c r="G70" s="149"/>
      <c r="H70" s="144"/>
      <c r="I70" s="144"/>
      <c r="J70" s="144"/>
      <c r="K70" s="146"/>
    </row>
    <row r="71" spans="2:21" ht="15" customHeight="1" x14ac:dyDescent="0.2">
      <c r="B71" s="412"/>
      <c r="C71" s="413"/>
      <c r="D71" s="143"/>
      <c r="E71" s="145"/>
      <c r="F71" s="149"/>
      <c r="G71" s="149"/>
      <c r="H71" s="144"/>
      <c r="I71" s="144"/>
      <c r="J71" s="144"/>
      <c r="K71" s="149"/>
    </row>
    <row r="72" spans="2:21" ht="15" customHeight="1" x14ac:dyDescent="0.2">
      <c r="B72" s="412"/>
      <c r="C72" s="413"/>
      <c r="D72" s="143"/>
      <c r="E72" s="145"/>
      <c r="F72" s="149"/>
      <c r="G72" s="149"/>
      <c r="H72" s="147"/>
      <c r="I72" s="144"/>
      <c r="J72" s="144"/>
      <c r="K72" s="149"/>
    </row>
    <row r="73" spans="2:21" ht="15" customHeight="1" x14ac:dyDescent="0.2">
      <c r="B73" s="412"/>
      <c r="C73" s="413"/>
      <c r="D73" s="143"/>
      <c r="E73" s="143"/>
      <c r="F73" s="149"/>
      <c r="G73" s="148"/>
      <c r="H73" s="149"/>
      <c r="I73" s="144"/>
      <c r="J73" s="144"/>
      <c r="K73" s="146"/>
    </row>
    <row r="74" spans="2:21" ht="15" customHeight="1" x14ac:dyDescent="0.2">
      <c r="B74" s="143"/>
      <c r="C74" s="143"/>
      <c r="D74" s="143"/>
      <c r="E74" s="143"/>
      <c r="F74" s="149"/>
      <c r="G74" s="148"/>
      <c r="H74" s="149"/>
      <c r="I74" s="144"/>
      <c r="J74" s="144"/>
      <c r="K74" s="146"/>
    </row>
    <row r="75" spans="2:21" ht="15" customHeight="1" x14ac:dyDescent="0.2">
      <c r="D75" s="115"/>
    </row>
    <row r="76" spans="2:21" ht="15" customHeight="1" x14ac:dyDescent="0.2">
      <c r="D76" s="115"/>
    </row>
    <row r="77" spans="2:21" ht="15" customHeight="1" x14ac:dyDescent="0.2">
      <c r="D77" s="115"/>
    </row>
    <row r="78" spans="2:21" ht="15" customHeight="1" x14ac:dyDescent="0.2">
      <c r="D78" s="115"/>
    </row>
    <row r="79" spans="2:21" ht="15" customHeight="1" x14ac:dyDescent="0.2">
      <c r="D79" s="115"/>
    </row>
    <row r="80" spans="2:21" ht="15" customHeight="1" x14ac:dyDescent="0.2">
      <c r="D80" s="115"/>
    </row>
    <row r="81" spans="2:4" ht="15" customHeight="1" x14ac:dyDescent="0.2">
      <c r="D81" s="115"/>
    </row>
    <row r="82" spans="2:4" ht="15" customHeight="1" x14ac:dyDescent="0.2">
      <c r="B82" s="112"/>
      <c r="C82" s="117"/>
      <c r="D82" s="112"/>
    </row>
  </sheetData>
  <mergeCells count="10">
    <mergeCell ref="B56:E56"/>
    <mergeCell ref="C7:D7"/>
    <mergeCell ref="C1:J1"/>
    <mergeCell ref="F5:G5"/>
    <mergeCell ref="C5:D5"/>
    <mergeCell ref="M7:O7"/>
    <mergeCell ref="C3:D3"/>
    <mergeCell ref="F7:G7"/>
    <mergeCell ref="F3:G3"/>
    <mergeCell ref="D47:E47"/>
  </mergeCells>
  <conditionalFormatting sqref="B9">
    <cfRule type="expression" dxfId="326" priority="57">
      <formula>B9="CURRENCY"</formula>
    </cfRule>
    <cfRule type="containsText" dxfId="325" priority="56" operator="containsText" text="SELECT">
      <formula>NOT(ISERROR(SEARCH("SELECT",B9)))</formula>
    </cfRule>
  </conditionalFormatting>
  <conditionalFormatting sqref="B13:B24">
    <cfRule type="expression" dxfId="324" priority="7">
      <formula>$C13&gt;0</formula>
    </cfRule>
  </conditionalFormatting>
  <conditionalFormatting sqref="B25:B39">
    <cfRule type="expression" dxfId="323" priority="6">
      <formula>$C25&gt;0</formula>
    </cfRule>
  </conditionalFormatting>
  <conditionalFormatting sqref="B40:B42">
    <cfRule type="expression" dxfId="322" priority="5">
      <formula>$C40&gt;0</formula>
    </cfRule>
  </conditionalFormatting>
  <conditionalFormatting sqref="B43:B50">
    <cfRule type="expression" dxfId="321" priority="1">
      <formula>$C43&gt;0</formula>
    </cfRule>
  </conditionalFormatting>
  <conditionalFormatting sqref="B51:B54">
    <cfRule type="expression" dxfId="320" priority="4">
      <formula>$C51&gt;0</formula>
    </cfRule>
  </conditionalFormatting>
  <conditionalFormatting sqref="B57:B66">
    <cfRule type="expression" dxfId="319" priority="2">
      <formula>$C57&gt;0</formula>
    </cfRule>
  </conditionalFormatting>
  <conditionalFormatting sqref="C13:C54">
    <cfRule type="cellIs" dxfId="318" priority="21" operator="lessThan">
      <formula>1</formula>
    </cfRule>
  </conditionalFormatting>
  <conditionalFormatting sqref="C57:C66">
    <cfRule type="cellIs" dxfId="317" priority="59" operator="equal">
      <formula>0</formula>
    </cfRule>
  </conditionalFormatting>
  <conditionalFormatting sqref="C9:D9">
    <cfRule type="cellIs" dxfId="316" priority="51" operator="lessThan">
      <formula>0</formula>
    </cfRule>
    <cfRule type="cellIs" dxfId="315" priority="52" operator="greaterThan">
      <formula>0</formula>
    </cfRule>
  </conditionalFormatting>
  <conditionalFormatting sqref="F13:F54">
    <cfRule type="expression" dxfId="314" priority="20">
      <formula>C13&gt;0</formula>
    </cfRule>
  </conditionalFormatting>
  <conditionalFormatting sqref="F57:F66">
    <cfRule type="expression" dxfId="313" priority="50">
      <formula>C57&gt;0</formula>
    </cfRule>
  </conditionalFormatting>
  <conditionalFormatting sqref="F58:F66">
    <cfRule type="expression" dxfId="312" priority="58">
      <formula>C58&lt;1</formula>
    </cfRule>
  </conditionalFormatting>
  <conditionalFormatting sqref="G13:G54">
    <cfRule type="cellIs" dxfId="311" priority="19" operator="greaterThan">
      <formula>0</formula>
    </cfRule>
  </conditionalFormatting>
  <conditionalFormatting sqref="G57:G66">
    <cfRule type="cellIs" dxfId="310" priority="48" operator="greaterThan">
      <formula>0</formula>
    </cfRule>
  </conditionalFormatting>
  <conditionalFormatting sqref="H13:H54">
    <cfRule type="expression" dxfId="309" priority="26">
      <formula>$C$9&gt;0</formula>
    </cfRule>
    <cfRule type="expression" dxfId="308" priority="27">
      <formula>$C$9&lt;0</formula>
    </cfRule>
  </conditionalFormatting>
  <conditionalFormatting sqref="H57:H66">
    <cfRule type="expression" dxfId="307" priority="67">
      <formula>$C$9&lt;0</formula>
    </cfRule>
    <cfRule type="expression" dxfId="306" priority="66">
      <formula>$C$9&gt;0</formula>
    </cfRule>
  </conditionalFormatting>
  <conditionalFormatting sqref="J2:J6 J75:J1048576">
    <cfRule type="expression" dxfId="305" priority="61">
      <formula>$B$9="EURO"</formula>
    </cfRule>
  </conditionalFormatting>
  <conditionalFormatting sqref="J8:J67">
    <cfRule type="expression" dxfId="304" priority="22">
      <formula>$B$9="EURO"</formula>
    </cfRule>
  </conditionalFormatting>
  <conditionalFormatting sqref="J9 J56:J66">
    <cfRule type="expression" dxfId="303" priority="63">
      <formula>$B$9="USD"</formula>
    </cfRule>
    <cfRule type="expression" dxfId="302" priority="64">
      <formula>$B$9="PLN"</formula>
    </cfRule>
    <cfRule type="expression" dxfId="301" priority="65">
      <formula>$B$9="CZK"</formula>
    </cfRule>
  </conditionalFormatting>
  <conditionalFormatting sqref="J12:J54">
    <cfRule type="expression" dxfId="300" priority="25">
      <formula>$B$9="CZK"</formula>
    </cfRule>
    <cfRule type="expression" dxfId="299" priority="24">
      <formula>$B$9="PLN"</formula>
    </cfRule>
    <cfRule type="expression" dxfId="298" priority="23">
      <formula>$B$9="USD"</formula>
    </cfRule>
  </conditionalFormatting>
  <conditionalFormatting sqref="J68:J74">
    <cfRule type="expression" dxfId="297" priority="55">
      <formula>$F$10="EURO"</formula>
    </cfRule>
  </conditionalFormatting>
  <conditionalFormatting sqref="J13:K54">
    <cfRule type="cellIs" dxfId="296" priority="18" operator="greaterThan">
      <formula>0</formula>
    </cfRule>
  </conditionalFormatting>
  <conditionalFormatting sqref="J57:K66">
    <cfRule type="cellIs" dxfId="295" priority="47" operator="greaterThan">
      <formula>0</formula>
    </cfRule>
  </conditionalFormatting>
  <dataValidations count="1">
    <dataValidation type="list" allowBlank="1" showInputMessage="1" showErrorMessage="1" sqref="D55" xr:uid="{00000000-0002-0000-A100-000000000000}">
      <formula1>$B$3:$B$15</formula1>
    </dataValidation>
  </dataValidations>
  <printOptions horizontalCentered="1"/>
  <pageMargins left="0.23622047244094491" right="0.35433070866141742" top="0.39370078740157483" bottom="0.39370078740157483" header="0.31496062992125978" footer="0.11811023622047249"/>
  <pageSetup paperSize="8" scale="90" orientation="portrait"/>
  <headerFooter alignWithMargins="0">
    <oddFooter>&amp;L&amp;Z&amp;F</oddFooter>
  </headerFooter>
  <drawing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sheetPr codeName="Sheet2">
    <tabColor theme="8" tint="0.79998168889431442"/>
    <pageSetUpPr fitToPage="1"/>
  </sheetPr>
  <dimension ref="B1:AF82"/>
  <sheetViews>
    <sheetView zoomScale="80" zoomScaleNormal="80" workbookViewId="0">
      <selection activeCell="G187" sqref="G187"/>
    </sheetView>
  </sheetViews>
  <sheetFormatPr baseColWidth="10" defaultColWidth="51.83203125" defaultRowHeight="15" customHeight="1" x14ac:dyDescent="0.2"/>
  <cols>
    <col min="1" max="1" width="2" style="113" customWidth="1"/>
    <col min="2" max="2" width="32.6640625" style="113" bestFit="1" customWidth="1"/>
    <col min="3" max="3" width="16.33203125" style="114" customWidth="1"/>
    <col min="4" max="4" width="32.33203125" style="113" customWidth="1"/>
    <col min="5" max="5" width="14.5" style="113" bestFit="1" customWidth="1"/>
    <col min="6" max="6" width="12.1640625" style="250" customWidth="1"/>
    <col min="7" max="7" width="13.5" style="250" customWidth="1"/>
    <col min="8" max="8" width="10.33203125" style="114" customWidth="1"/>
    <col min="9" max="9" width="11.5" style="114" hidden="1" customWidth="1"/>
    <col min="10" max="11" width="13.1640625" style="114" customWidth="1"/>
    <col min="12" max="12" width="4.5" style="113" customWidth="1"/>
    <col min="13" max="13" width="15.5" style="241" customWidth="1"/>
    <col min="14" max="14" width="14.6640625" style="241" customWidth="1"/>
    <col min="15" max="15" width="12.33203125" style="241" customWidth="1"/>
    <col min="16" max="16" width="14.6640625" style="241" customWidth="1"/>
    <col min="17" max="17" width="3.6640625" style="115" customWidth="1"/>
    <col min="18" max="18" width="18.5" style="113" customWidth="1"/>
    <col min="19" max="19" width="23" style="113" customWidth="1"/>
    <col min="20" max="20" width="22.5" style="115" customWidth="1"/>
    <col min="21" max="22" width="51.83203125" style="113" customWidth="1"/>
    <col min="23" max="23" width="51.83203125" style="115" customWidth="1"/>
    <col min="24" max="31" width="51.83203125" style="113" customWidth="1"/>
    <col min="32" max="32" width="51.83203125" style="115" customWidth="1"/>
    <col min="33" max="33" width="51.83203125" style="113" customWidth="1"/>
    <col min="34" max="16384" width="51.83203125" style="113"/>
  </cols>
  <sheetData>
    <row r="1" spans="2:32" s="118" customFormat="1" ht="15" customHeight="1" thickBot="1" x14ac:dyDescent="0.2">
      <c r="B1" s="125" t="s">
        <v>471</v>
      </c>
      <c r="C1" s="983" t="s">
        <v>472</v>
      </c>
      <c r="D1" s="975"/>
      <c r="E1" s="975"/>
      <c r="F1" s="975"/>
      <c r="G1" s="975"/>
      <c r="H1" s="975"/>
      <c r="I1" s="975"/>
      <c r="J1" s="976"/>
      <c r="K1" s="853" t="s">
        <v>48</v>
      </c>
      <c r="M1" s="408"/>
      <c r="N1" s="408"/>
      <c r="O1" s="409"/>
      <c r="P1" s="409"/>
      <c r="V1" s="119"/>
      <c r="Y1" s="120"/>
    </row>
    <row r="2" spans="2:32" s="92" customFormat="1" ht="15" customHeight="1" x14ac:dyDescent="0.15">
      <c r="B2" s="97"/>
      <c r="C2" s="98"/>
      <c r="E2" s="62"/>
      <c r="F2" s="243"/>
      <c r="G2" s="244"/>
      <c r="H2" s="245"/>
      <c r="I2" s="239"/>
      <c r="J2" s="239"/>
      <c r="K2" s="122"/>
      <c r="M2" s="219"/>
      <c r="N2" s="219"/>
      <c r="O2" s="410"/>
      <c r="P2" s="410"/>
      <c r="T2" s="101"/>
      <c r="V2" s="95"/>
      <c r="Y2" s="96"/>
    </row>
    <row r="3" spans="2:32" s="92" customFormat="1" ht="15" customHeight="1" x14ac:dyDescent="0.15">
      <c r="B3" s="102" t="s">
        <v>446</v>
      </c>
      <c r="C3" s="938" t="e">
        <f>IF([17]CANOPY!C3="","",[17]CANOPY!C3)</f>
        <v>#REF!</v>
      </c>
      <c r="D3" s="979"/>
      <c r="E3" s="103" t="s">
        <v>4</v>
      </c>
      <c r="F3" s="935" t="e">
        <f>IF([17]CANOPY!G3="","",[17]CANOPY!G3)</f>
        <v>#REF!</v>
      </c>
      <c r="G3" s="979"/>
      <c r="H3" s="245"/>
      <c r="I3" s="239"/>
      <c r="J3" s="239"/>
      <c r="K3" s="122"/>
      <c r="M3" s="697"/>
      <c r="N3" s="219"/>
      <c r="O3" s="410"/>
      <c r="P3" s="410"/>
      <c r="V3" s="95"/>
      <c r="Y3" s="96"/>
    </row>
    <row r="4" spans="2:32" s="92" customFormat="1" ht="15" customHeight="1" x14ac:dyDescent="0.15">
      <c r="B4" s="97"/>
      <c r="C4" s="97"/>
      <c r="E4" s="104"/>
      <c r="F4" s="251"/>
      <c r="G4" s="252"/>
      <c r="H4" s="245"/>
      <c r="I4" s="239"/>
      <c r="J4" s="239"/>
      <c r="K4" s="122"/>
      <c r="M4" s="219"/>
      <c r="N4" s="219"/>
      <c r="O4" s="410"/>
      <c r="P4" s="410"/>
      <c r="V4" s="95"/>
      <c r="Y4" s="96"/>
    </row>
    <row r="5" spans="2:32" s="92" customFormat="1" ht="15" customHeight="1" x14ac:dyDescent="0.15">
      <c r="B5" s="102" t="s">
        <v>6</v>
      </c>
      <c r="C5" s="938" t="e">
        <f>IF([17]CANOPY!C5="","",[17]CANOPY!C5)</f>
        <v>#REF!</v>
      </c>
      <c r="D5" s="979"/>
      <c r="E5" s="103" t="s">
        <v>8</v>
      </c>
      <c r="F5" s="935" t="e">
        <f>IF([17]CANOPY!G5="","",[17]CANOPY!G5)</f>
        <v>#REF!</v>
      </c>
      <c r="G5" s="979"/>
      <c r="H5" s="245"/>
      <c r="I5" s="239"/>
      <c r="J5" s="239"/>
      <c r="K5" s="122"/>
      <c r="L5" s="105"/>
      <c r="M5" s="411"/>
      <c r="N5" s="219"/>
      <c r="O5" s="410"/>
      <c r="P5" s="410"/>
      <c r="V5" s="95"/>
      <c r="Y5" s="96"/>
    </row>
    <row r="6" spans="2:32" s="92" customFormat="1" ht="15" customHeight="1" x14ac:dyDescent="0.15">
      <c r="B6" s="102"/>
      <c r="C6" s="97"/>
      <c r="E6" s="103"/>
      <c r="F6" s="253"/>
      <c r="G6" s="254"/>
      <c r="H6" s="245"/>
      <c r="I6" s="239"/>
      <c r="J6" s="239"/>
      <c r="K6" s="122"/>
      <c r="L6" s="105"/>
      <c r="M6" s="411"/>
      <c r="N6" s="219"/>
      <c r="O6" s="410"/>
      <c r="P6" s="410"/>
      <c r="V6" s="106"/>
      <c r="Y6" s="96"/>
    </row>
    <row r="7" spans="2:32" s="92" customFormat="1" ht="15" customHeight="1" x14ac:dyDescent="0.15">
      <c r="B7" s="75" t="s">
        <v>10</v>
      </c>
      <c r="C7" s="938" t="e">
        <f>IF([17]CANOPY!C7="","",[17]CANOPY!C7)</f>
        <v>#REF!</v>
      </c>
      <c r="D7" s="979"/>
      <c r="E7" s="103" t="s">
        <v>12</v>
      </c>
      <c r="F7" s="939" t="e">
        <f>IF([17]CANOPY!G7="","",[17]CANOPY!G7)</f>
        <v>#REF!</v>
      </c>
      <c r="G7" s="979"/>
      <c r="H7" s="245"/>
      <c r="J7" s="240" t="s">
        <v>14</v>
      </c>
      <c r="K7" s="787" t="e">
        <f>IF([17]CANOPY!O7="","",[17]CANOPY!O7)</f>
        <v>#REF!</v>
      </c>
      <c r="L7" s="105"/>
      <c r="M7" s="964" t="s">
        <v>447</v>
      </c>
      <c r="N7" s="979"/>
      <c r="O7" s="979"/>
      <c r="V7" s="106"/>
      <c r="Y7" s="96"/>
    </row>
    <row r="8" spans="2:32" s="111" customFormat="1" ht="15" customHeight="1" x14ac:dyDescent="0.2">
      <c r="B8" s="108"/>
      <c r="D8" s="97"/>
      <c r="E8" s="110"/>
      <c r="F8" s="246"/>
      <c r="G8" s="109"/>
      <c r="H8" s="241"/>
      <c r="I8" s="241"/>
      <c r="J8" s="241"/>
      <c r="K8" s="241"/>
      <c r="M8" s="241"/>
      <c r="N8" s="241"/>
      <c r="O8" s="241"/>
      <c r="P8" s="241"/>
      <c r="Q8" s="112"/>
      <c r="T8" s="112"/>
      <c r="W8" s="112"/>
      <c r="AF8" s="112"/>
    </row>
    <row r="9" spans="2:32" ht="15" customHeight="1" thickBot="1" x14ac:dyDescent="0.25">
      <c r="B9" s="38" t="s">
        <v>15</v>
      </c>
      <c r="C9" s="829">
        <v>0</v>
      </c>
      <c r="D9" s="294">
        <f>IF(C9=0,0,(SUBTOTAL(9,I12:I66)/(1-C9))-I9)</f>
        <v>0</v>
      </c>
      <c r="G9" s="25">
        <f>SUBTOTAL(9,G13:G66)</f>
        <v>0</v>
      </c>
      <c r="H9" s="845" t="str">
        <f>IF(K9=0,"-",K9/I9)</f>
        <v>-</v>
      </c>
      <c r="I9" s="25">
        <f>SUBTOTAL(9,I13:I67)</f>
        <v>0</v>
      </c>
      <c r="J9" s="382">
        <f>SUBTOTAL(9,J13:J67)</f>
        <v>0</v>
      </c>
      <c r="K9" s="25">
        <f>SUBTOTAL(9,K13:K67)</f>
        <v>0</v>
      </c>
    </row>
    <row r="10" spans="2:32" ht="15" customHeight="1" thickBot="1" x14ac:dyDescent="0.25">
      <c r="B10" s="2" t="s">
        <v>15</v>
      </c>
      <c r="C10" s="2" t="s">
        <v>16</v>
      </c>
      <c r="D10" s="2" t="s">
        <v>17</v>
      </c>
      <c r="E10" s="236"/>
      <c r="F10" s="2" t="s">
        <v>52</v>
      </c>
      <c r="G10" s="2" t="s">
        <v>18</v>
      </c>
      <c r="H10" s="3" t="s">
        <v>19</v>
      </c>
      <c r="I10" s="4" t="s">
        <v>21</v>
      </c>
      <c r="J10" s="4" t="s">
        <v>21</v>
      </c>
      <c r="K10" s="237" t="s">
        <v>22</v>
      </c>
      <c r="M10" s="471" t="s">
        <v>473</v>
      </c>
      <c r="N10" s="472" t="s">
        <v>474</v>
      </c>
      <c r="O10" s="476" t="s">
        <v>475</v>
      </c>
      <c r="P10" s="473" t="s">
        <v>476</v>
      </c>
      <c r="R10" s="984"/>
      <c r="S10" s="975"/>
      <c r="T10" s="985"/>
    </row>
    <row r="11" spans="2:32" ht="15" customHeight="1" x14ac:dyDescent="0.2">
      <c r="B11" s="16"/>
      <c r="C11" s="17"/>
      <c r="D11" s="17"/>
      <c r="E11" s="18"/>
      <c r="F11" s="17"/>
      <c r="G11" s="17"/>
      <c r="H11" s="19"/>
      <c r="I11" s="20"/>
      <c r="J11" s="20"/>
      <c r="K11" s="21"/>
      <c r="M11" s="474" t="s">
        <v>369</v>
      </c>
      <c r="N11" s="475" t="s">
        <v>369</v>
      </c>
      <c r="O11" s="477" t="s">
        <v>369</v>
      </c>
      <c r="P11" s="414" t="s">
        <v>369</v>
      </c>
    </row>
    <row r="12" spans="2:32" ht="15" customHeight="1" x14ac:dyDescent="0.2">
      <c r="B12" s="24" t="s">
        <v>477</v>
      </c>
      <c r="C12" s="138" t="s">
        <v>478</v>
      </c>
      <c r="D12" s="138" t="s">
        <v>479</v>
      </c>
      <c r="E12" s="23"/>
      <c r="F12" s="22"/>
      <c r="G12" s="58">
        <f>SUBTOTAL(9,G13:G54)</f>
        <v>0</v>
      </c>
      <c r="H12" s="39" t="str">
        <f>IF(G13=0,"-",K12/I12)</f>
        <v>-</v>
      </c>
      <c r="I12" s="58">
        <f>SUBTOTAL(9,I13:I54)</f>
        <v>0</v>
      </c>
      <c r="J12" s="382">
        <f>SUBTOTAL(9,J13:J54)</f>
        <v>0</v>
      </c>
      <c r="K12" s="58">
        <f>SUBTOTAL(9,K13:K54)</f>
        <v>0</v>
      </c>
      <c r="M12" s="382">
        <f>SUM(M13:M54)</f>
        <v>0</v>
      </c>
      <c r="N12" s="382">
        <f>SUM(N13:N54)</f>
        <v>0</v>
      </c>
      <c r="O12" s="382">
        <f>SUM(O13:O54)</f>
        <v>0</v>
      </c>
      <c r="P12" s="382">
        <f>SUM(P13:P54)</f>
        <v>0</v>
      </c>
      <c r="R12" s="748"/>
      <c r="S12" s="748"/>
      <c r="T12" s="749"/>
    </row>
    <row r="13" spans="2:32" ht="15" customHeight="1" x14ac:dyDescent="0.2">
      <c r="B13" s="485" t="s">
        <v>480</v>
      </c>
      <c r="C13" s="186"/>
      <c r="D13" s="304" t="s">
        <v>481</v>
      </c>
      <c r="E13" s="187"/>
      <c r="F13" s="302">
        <f>VLOOKUP(D13,'Base Costs'!I4:J10,2,FALSE)</f>
        <v>0</v>
      </c>
      <c r="G13" s="295">
        <f t="shared" ref="G13:G54" si="0">C13*F13</f>
        <v>0</v>
      </c>
      <c r="H13" s="298">
        <v>0.28999999999999998</v>
      </c>
      <c r="I13" s="234">
        <f t="shared" ref="I13:I54" si="1">G13/(1-H13)*(1+$C$9)</f>
        <v>0</v>
      </c>
      <c r="J13" s="295">
        <f>I13*VLOOKUP($B$9,'Base Costs'!$A$32:$B$37,2,FALSE)</f>
        <v>0</v>
      </c>
      <c r="K13" s="296">
        <f t="shared" ref="K13:K54" si="2">I13-G13</f>
        <v>0</v>
      </c>
      <c r="M13" s="295">
        <f t="shared" ref="M13:M24" si="3">J13</f>
        <v>0</v>
      </c>
      <c r="N13" s="295"/>
      <c r="O13" s="295"/>
      <c r="P13" s="295"/>
      <c r="R13" s="748"/>
      <c r="S13" s="748"/>
      <c r="T13" s="749"/>
    </row>
    <row r="14" spans="2:32" ht="15" customHeight="1" x14ac:dyDescent="0.2">
      <c r="B14" s="485" t="s">
        <v>475</v>
      </c>
      <c r="C14" s="186"/>
      <c r="D14" s="305" t="s">
        <v>475</v>
      </c>
      <c r="E14" s="187"/>
      <c r="F14" s="302">
        <f>VLOOKUP(D14,'Base Costs'!I19:J23,2,FALSE)</f>
        <v>0</v>
      </c>
      <c r="G14" s="295">
        <f t="shared" si="0"/>
        <v>0</v>
      </c>
      <c r="H14" s="298">
        <v>0.28999999999999998</v>
      </c>
      <c r="I14" s="234">
        <f t="shared" si="1"/>
        <v>0</v>
      </c>
      <c r="J14" s="295">
        <f>I14*VLOOKUP($B$9,'Base Costs'!$A$32:$B$37,2,FALSE)</f>
        <v>0</v>
      </c>
      <c r="K14" s="296">
        <f t="shared" si="2"/>
        <v>0</v>
      </c>
      <c r="M14" s="295">
        <f t="shared" si="3"/>
        <v>0</v>
      </c>
      <c r="N14" s="295"/>
      <c r="O14" s="295"/>
      <c r="P14" s="295"/>
      <c r="R14" s="748"/>
      <c r="S14" s="748"/>
      <c r="T14" s="749"/>
    </row>
    <row r="15" spans="2:32" ht="15" customHeight="1" x14ac:dyDescent="0.2">
      <c r="B15" s="485" t="s">
        <v>482</v>
      </c>
      <c r="C15" s="186"/>
      <c r="D15" s="306" t="s">
        <v>483</v>
      </c>
      <c r="E15" s="187"/>
      <c r="F15" s="302">
        <f>VLOOKUP(D15,'Base Costs'!I12:J16,2,FALSE)</f>
        <v>0</v>
      </c>
      <c r="G15" s="295">
        <f t="shared" si="0"/>
        <v>0</v>
      </c>
      <c r="H15" s="298">
        <v>0.28999999999999998</v>
      </c>
      <c r="I15" s="234">
        <f t="shared" si="1"/>
        <v>0</v>
      </c>
      <c r="J15" s="295">
        <f>I15*VLOOKUP($B$9,'Base Costs'!$A$32:$B$37,2,FALSE)</f>
        <v>0</v>
      </c>
      <c r="K15" s="296">
        <f t="shared" si="2"/>
        <v>0</v>
      </c>
      <c r="M15" s="295">
        <f t="shared" si="3"/>
        <v>0</v>
      </c>
      <c r="N15" s="295"/>
      <c r="O15" s="295"/>
      <c r="P15" s="295"/>
      <c r="R15" s="748"/>
      <c r="S15" s="748"/>
      <c r="T15" s="749"/>
    </row>
    <row r="16" spans="2:32" ht="15" customHeight="1" x14ac:dyDescent="0.2">
      <c r="B16" s="485" t="s">
        <v>484</v>
      </c>
      <c r="C16" s="186"/>
      <c r="D16" s="188"/>
      <c r="E16" s="187"/>
      <c r="F16" s="302"/>
      <c r="G16" s="295">
        <f t="shared" si="0"/>
        <v>0</v>
      </c>
      <c r="H16" s="298">
        <v>0.28999999999999998</v>
      </c>
      <c r="I16" s="234">
        <f t="shared" si="1"/>
        <v>0</v>
      </c>
      <c r="J16" s="295">
        <f>I16*VLOOKUP($B$9,'Base Costs'!$A$32:$B$37,2,FALSE)</f>
        <v>0</v>
      </c>
      <c r="K16" s="296">
        <f t="shared" si="2"/>
        <v>0</v>
      </c>
      <c r="M16" s="295">
        <f t="shared" si="3"/>
        <v>0</v>
      </c>
      <c r="N16" s="295"/>
      <c r="O16" s="295"/>
      <c r="P16" s="295"/>
      <c r="R16" s="748"/>
      <c r="S16" s="748"/>
      <c r="T16" s="749"/>
    </row>
    <row r="17" spans="2:20" ht="15" customHeight="1" x14ac:dyDescent="0.2">
      <c r="B17" s="485" t="s">
        <v>485</v>
      </c>
      <c r="C17" s="186"/>
      <c r="D17" s="188"/>
      <c r="E17" s="187"/>
      <c r="F17" s="302"/>
      <c r="G17" s="295">
        <f t="shared" si="0"/>
        <v>0</v>
      </c>
      <c r="H17" s="298">
        <v>0.28999999999999998</v>
      </c>
      <c r="I17" s="234">
        <f t="shared" si="1"/>
        <v>0</v>
      </c>
      <c r="J17" s="295">
        <f>I17*VLOOKUP($B$9,'Base Costs'!$A$32:$B$37,2,FALSE)</f>
        <v>0</v>
      </c>
      <c r="K17" s="296">
        <f t="shared" si="2"/>
        <v>0</v>
      </c>
      <c r="M17" s="295">
        <f t="shared" si="3"/>
        <v>0</v>
      </c>
      <c r="N17" s="295"/>
      <c r="O17" s="295"/>
      <c r="P17" s="295"/>
      <c r="R17" s="748"/>
      <c r="S17" s="748"/>
      <c r="T17" s="749"/>
    </row>
    <row r="18" spans="2:20" ht="15" customHeight="1" x14ac:dyDescent="0.2">
      <c r="B18" s="485" t="s">
        <v>486</v>
      </c>
      <c r="C18" s="186"/>
      <c r="D18" s="188"/>
      <c r="E18" s="187"/>
      <c r="F18" s="302">
        <f>26*1.03</f>
        <v>26.78</v>
      </c>
      <c r="G18" s="295">
        <f t="shared" si="0"/>
        <v>0</v>
      </c>
      <c r="H18" s="298">
        <v>0.28999999999999998</v>
      </c>
      <c r="I18" s="234">
        <f t="shared" si="1"/>
        <v>0</v>
      </c>
      <c r="J18" s="295">
        <f>I18*VLOOKUP($B$9,'Base Costs'!$A$32:$B$37,2,FALSE)</f>
        <v>0</v>
      </c>
      <c r="K18" s="296">
        <f t="shared" si="2"/>
        <v>0</v>
      </c>
      <c r="M18" s="295">
        <f t="shared" si="3"/>
        <v>0</v>
      </c>
      <c r="N18" s="295"/>
      <c r="O18" s="295"/>
      <c r="P18" s="295"/>
      <c r="R18" s="748"/>
      <c r="S18" s="748"/>
      <c r="T18" s="749"/>
    </row>
    <row r="19" spans="2:20" ht="15" customHeight="1" x14ac:dyDescent="0.2">
      <c r="B19" s="485" t="s">
        <v>390</v>
      </c>
      <c r="C19" s="186"/>
      <c r="D19" s="188"/>
      <c r="E19" s="187"/>
      <c r="F19" s="302">
        <f>1300*1.03</f>
        <v>1339</v>
      </c>
      <c r="G19" s="295">
        <f t="shared" si="0"/>
        <v>0</v>
      </c>
      <c r="H19" s="298">
        <v>0.28999999999999998</v>
      </c>
      <c r="I19" s="234">
        <f t="shared" si="1"/>
        <v>0</v>
      </c>
      <c r="J19" s="295">
        <f>I19*VLOOKUP($B$9,'Base Costs'!$A$32:$B$37,2,FALSE)</f>
        <v>0</v>
      </c>
      <c r="K19" s="296">
        <f t="shared" si="2"/>
        <v>0</v>
      </c>
      <c r="M19" s="295">
        <f t="shared" si="3"/>
        <v>0</v>
      </c>
      <c r="N19" s="295"/>
      <c r="O19" s="295"/>
      <c r="P19" s="295"/>
      <c r="R19" s="748"/>
      <c r="S19" s="748"/>
      <c r="T19" s="749"/>
    </row>
    <row r="20" spans="2:20" ht="15" customHeight="1" x14ac:dyDescent="0.2">
      <c r="B20" s="485" t="s">
        <v>487</v>
      </c>
      <c r="C20" s="186"/>
      <c r="D20" s="188"/>
      <c r="E20" s="187"/>
      <c r="F20" s="302">
        <v>0</v>
      </c>
      <c r="G20" s="295">
        <f t="shared" si="0"/>
        <v>0</v>
      </c>
      <c r="H20" s="298">
        <v>0.28999999999999998</v>
      </c>
      <c r="I20" s="234">
        <f t="shared" si="1"/>
        <v>0</v>
      </c>
      <c r="J20" s="295">
        <f>I20*VLOOKUP($B$9,'Base Costs'!$A$32:$B$37,2,FALSE)</f>
        <v>0</v>
      </c>
      <c r="K20" s="296">
        <f t="shared" si="2"/>
        <v>0</v>
      </c>
      <c r="M20" s="295">
        <f t="shared" si="3"/>
        <v>0</v>
      </c>
      <c r="N20" s="295"/>
      <c r="O20" s="295"/>
      <c r="P20" s="295"/>
      <c r="R20" s="748"/>
      <c r="S20" s="748"/>
      <c r="T20" s="749"/>
    </row>
    <row r="21" spans="2:20" ht="15" customHeight="1" x14ac:dyDescent="0.2">
      <c r="B21" s="485"/>
      <c r="C21" s="186"/>
      <c r="D21" s="189"/>
      <c r="E21" s="187"/>
      <c r="F21" s="302">
        <v>0</v>
      </c>
      <c r="G21" s="295">
        <f t="shared" si="0"/>
        <v>0</v>
      </c>
      <c r="H21" s="298">
        <v>0.28999999999999998</v>
      </c>
      <c r="I21" s="234">
        <f t="shared" si="1"/>
        <v>0</v>
      </c>
      <c r="J21" s="295">
        <f>I21*VLOOKUP($B$9,'Base Costs'!$A$32:$B$37,2,FALSE)</f>
        <v>0</v>
      </c>
      <c r="K21" s="296">
        <f t="shared" si="2"/>
        <v>0</v>
      </c>
      <c r="M21" s="295">
        <f t="shared" si="3"/>
        <v>0</v>
      </c>
      <c r="N21" s="295"/>
      <c r="O21" s="295"/>
      <c r="P21" s="295"/>
      <c r="R21" s="748"/>
      <c r="S21" s="748"/>
      <c r="T21" s="749"/>
    </row>
    <row r="22" spans="2:20" ht="15" customHeight="1" x14ac:dyDescent="0.2">
      <c r="B22" s="485" t="s">
        <v>488</v>
      </c>
      <c r="C22" s="186"/>
      <c r="D22" s="188"/>
      <c r="E22" s="187"/>
      <c r="F22" s="302">
        <v>17895</v>
      </c>
      <c r="G22" s="295">
        <f t="shared" si="0"/>
        <v>0</v>
      </c>
      <c r="H22" s="298">
        <v>0.28999999999999998</v>
      </c>
      <c r="I22" s="234">
        <f t="shared" si="1"/>
        <v>0</v>
      </c>
      <c r="J22" s="295">
        <f>I22*VLOOKUP($B$9,'Base Costs'!$A$32:$B$37,2,FALSE)</f>
        <v>0</v>
      </c>
      <c r="K22" s="296">
        <f t="shared" si="2"/>
        <v>0</v>
      </c>
      <c r="M22" s="295">
        <f t="shared" si="3"/>
        <v>0</v>
      </c>
      <c r="N22" s="295"/>
      <c r="O22" s="295"/>
      <c r="P22" s="295"/>
      <c r="R22" s="748"/>
      <c r="S22" s="748"/>
      <c r="T22" s="749"/>
    </row>
    <row r="23" spans="2:20" ht="15" customHeight="1" x14ac:dyDescent="0.2">
      <c r="B23" s="485" t="s">
        <v>489</v>
      </c>
      <c r="C23" s="186"/>
      <c r="D23" s="188"/>
      <c r="E23" s="187"/>
      <c r="F23" s="302">
        <v>0</v>
      </c>
      <c r="G23" s="295">
        <f t="shared" si="0"/>
        <v>0</v>
      </c>
      <c r="H23" s="298">
        <v>0.28999999999999998</v>
      </c>
      <c r="I23" s="234">
        <f t="shared" si="1"/>
        <v>0</v>
      </c>
      <c r="J23" s="295">
        <f>I23*VLOOKUP($B$9,'Base Costs'!$A$32:$B$37,2,FALSE)</f>
        <v>0</v>
      </c>
      <c r="K23" s="296">
        <f t="shared" si="2"/>
        <v>0</v>
      </c>
      <c r="M23" s="295">
        <f t="shared" si="3"/>
        <v>0</v>
      </c>
      <c r="N23" s="295"/>
      <c r="O23" s="295"/>
      <c r="P23" s="295"/>
      <c r="R23" s="748"/>
      <c r="S23" s="748"/>
      <c r="T23" s="749"/>
    </row>
    <row r="24" spans="2:20" ht="15" customHeight="1" x14ac:dyDescent="0.2">
      <c r="B24" s="485" t="s">
        <v>489</v>
      </c>
      <c r="C24" s="186"/>
      <c r="D24" s="188"/>
      <c r="E24" s="187"/>
      <c r="F24" s="302">
        <v>0</v>
      </c>
      <c r="G24" s="295">
        <f t="shared" si="0"/>
        <v>0</v>
      </c>
      <c r="H24" s="298">
        <v>0.28999999999999998</v>
      </c>
      <c r="I24" s="234">
        <f t="shared" si="1"/>
        <v>0</v>
      </c>
      <c r="J24" s="295">
        <f>I24*VLOOKUP($B$9,'Base Costs'!$A$32:$B$37,2,FALSE)</f>
        <v>0</v>
      </c>
      <c r="K24" s="296">
        <f t="shared" si="2"/>
        <v>0</v>
      </c>
      <c r="M24" s="295">
        <f t="shared" si="3"/>
        <v>0</v>
      </c>
      <c r="N24" s="295"/>
      <c r="O24" s="295"/>
      <c r="P24" s="295"/>
      <c r="R24" s="748"/>
      <c r="S24" s="748"/>
      <c r="T24" s="749"/>
    </row>
    <row r="25" spans="2:20" ht="15" customHeight="1" x14ac:dyDescent="0.2">
      <c r="B25" s="486" t="s">
        <v>490</v>
      </c>
      <c r="C25" s="186"/>
      <c r="D25" s="305" t="s">
        <v>491</v>
      </c>
      <c r="E25" s="187"/>
      <c r="F25" s="302">
        <f>VLOOKUP(D25,'Base Costs'!I25:J31,2,FALSE)</f>
        <v>0</v>
      </c>
      <c r="G25" s="295">
        <f t="shared" si="0"/>
        <v>0</v>
      </c>
      <c r="H25" s="298">
        <v>0.28999999999999998</v>
      </c>
      <c r="I25" s="234">
        <f t="shared" si="1"/>
        <v>0</v>
      </c>
      <c r="J25" s="295">
        <f>I25*VLOOKUP($B$9,'Base Costs'!$A$32:$B$37,2,FALSE)</f>
        <v>0</v>
      </c>
      <c r="K25" s="296">
        <f t="shared" si="2"/>
        <v>0</v>
      </c>
      <c r="M25" s="295"/>
      <c r="N25" s="295">
        <f t="shared" ref="N25:N39" si="4">J25</f>
        <v>0</v>
      </c>
      <c r="O25" s="295"/>
      <c r="P25" s="295"/>
      <c r="R25" s="748"/>
      <c r="S25" s="748"/>
      <c r="T25" s="749"/>
    </row>
    <row r="26" spans="2:20" ht="15" customHeight="1" x14ac:dyDescent="0.2">
      <c r="B26" s="486" t="s">
        <v>475</v>
      </c>
      <c r="C26" s="186"/>
      <c r="D26" s="305" t="s">
        <v>475</v>
      </c>
      <c r="E26" s="187"/>
      <c r="F26" s="302">
        <f>VLOOKUP(D26,'Base Costs'!I19:J23,2,FALSE)</f>
        <v>0</v>
      </c>
      <c r="G26" s="295">
        <f t="shared" si="0"/>
        <v>0</v>
      </c>
      <c r="H26" s="298">
        <v>0.28999999999999998</v>
      </c>
      <c r="I26" s="234">
        <f t="shared" si="1"/>
        <v>0</v>
      </c>
      <c r="J26" s="295">
        <f>I26*VLOOKUP($B$9,'Base Costs'!$A$32:$B$37,2,FALSE)</f>
        <v>0</v>
      </c>
      <c r="K26" s="296">
        <f t="shared" si="2"/>
        <v>0</v>
      </c>
      <c r="M26" s="295"/>
      <c r="N26" s="295">
        <f t="shared" si="4"/>
        <v>0</v>
      </c>
      <c r="O26" s="295"/>
      <c r="P26" s="295"/>
      <c r="R26" s="748"/>
      <c r="S26" s="748"/>
      <c r="T26" s="749"/>
    </row>
    <row r="27" spans="2:20" ht="15" customHeight="1" x14ac:dyDescent="0.2">
      <c r="B27" s="486" t="s">
        <v>492</v>
      </c>
      <c r="C27" s="186"/>
      <c r="D27" s="305" t="s">
        <v>493</v>
      </c>
      <c r="E27" s="187"/>
      <c r="F27" s="302">
        <f>VLOOKUP(D27,'Base Costs'!I33:J37,2,FALSE)</f>
        <v>0</v>
      </c>
      <c r="G27" s="295">
        <f t="shared" si="0"/>
        <v>0</v>
      </c>
      <c r="H27" s="298">
        <v>0.28999999999999998</v>
      </c>
      <c r="I27" s="234">
        <f t="shared" si="1"/>
        <v>0</v>
      </c>
      <c r="J27" s="295">
        <f>I27*VLOOKUP($B$9,'Base Costs'!$A$32:$B$37,2,FALSE)</f>
        <v>0</v>
      </c>
      <c r="K27" s="296">
        <f t="shared" si="2"/>
        <v>0</v>
      </c>
      <c r="M27" s="295"/>
      <c r="N27" s="295">
        <f t="shared" si="4"/>
        <v>0</v>
      </c>
      <c r="O27" s="295"/>
      <c r="P27" s="295"/>
      <c r="R27" s="748"/>
      <c r="S27" s="748"/>
      <c r="T27" s="749"/>
    </row>
    <row r="28" spans="2:20" ht="15" customHeight="1" x14ac:dyDescent="0.2">
      <c r="B28" s="486" t="s">
        <v>494</v>
      </c>
      <c r="C28" s="186"/>
      <c r="D28" s="305" t="s">
        <v>495</v>
      </c>
      <c r="E28" s="187"/>
      <c r="F28" s="302">
        <f>VLOOKUP(D28,'Base Costs'!I39:J44,2,FALSE)</f>
        <v>0</v>
      </c>
      <c r="G28" s="295">
        <f t="shared" si="0"/>
        <v>0</v>
      </c>
      <c r="H28" s="298">
        <v>0.28999999999999998</v>
      </c>
      <c r="I28" s="234">
        <f t="shared" si="1"/>
        <v>0</v>
      </c>
      <c r="J28" s="295">
        <f>I28*VLOOKUP($B$9,'Base Costs'!$A$32:$B$37,2,FALSE)</f>
        <v>0</v>
      </c>
      <c r="K28" s="296">
        <f t="shared" si="2"/>
        <v>0</v>
      </c>
      <c r="M28" s="295"/>
      <c r="N28" s="295">
        <f t="shared" si="4"/>
        <v>0</v>
      </c>
      <c r="O28" s="295"/>
      <c r="P28" s="295"/>
      <c r="R28" s="748"/>
      <c r="S28" s="748"/>
      <c r="T28" s="749"/>
    </row>
    <row r="29" spans="2:20" ht="15" customHeight="1" x14ac:dyDescent="0.2">
      <c r="B29" s="486" t="s">
        <v>496</v>
      </c>
      <c r="C29" s="186"/>
      <c r="D29" s="188"/>
      <c r="E29" s="187"/>
      <c r="F29" s="302">
        <v>0</v>
      </c>
      <c r="G29" s="295">
        <f t="shared" si="0"/>
        <v>0</v>
      </c>
      <c r="H29" s="298">
        <v>0.28999999999999998</v>
      </c>
      <c r="I29" s="234">
        <f t="shared" si="1"/>
        <v>0</v>
      </c>
      <c r="J29" s="295">
        <f>I29*VLOOKUP($B$9,'Base Costs'!$A$32:$B$37,2,FALSE)</f>
        <v>0</v>
      </c>
      <c r="K29" s="296">
        <f t="shared" si="2"/>
        <v>0</v>
      </c>
      <c r="M29" s="295"/>
      <c r="N29" s="295">
        <f t="shared" si="4"/>
        <v>0</v>
      </c>
      <c r="O29" s="295"/>
      <c r="P29" s="295"/>
      <c r="R29" s="748"/>
      <c r="S29" s="748"/>
      <c r="T29" s="749"/>
    </row>
    <row r="30" spans="2:20" ht="15" customHeight="1" x14ac:dyDescent="0.2">
      <c r="B30" s="486" t="s">
        <v>497</v>
      </c>
      <c r="C30" s="186"/>
      <c r="D30" s="188"/>
      <c r="E30" s="187"/>
      <c r="F30" s="302"/>
      <c r="G30" s="295">
        <f t="shared" si="0"/>
        <v>0</v>
      </c>
      <c r="H30" s="298">
        <v>0.28999999999999998</v>
      </c>
      <c r="I30" s="234">
        <f t="shared" si="1"/>
        <v>0</v>
      </c>
      <c r="J30" s="295">
        <f>I30*VLOOKUP($B$9,'Base Costs'!$A$32:$B$37,2,FALSE)</f>
        <v>0</v>
      </c>
      <c r="K30" s="296">
        <f t="shared" si="2"/>
        <v>0</v>
      </c>
      <c r="M30" s="295"/>
      <c r="N30" s="295">
        <f t="shared" si="4"/>
        <v>0</v>
      </c>
      <c r="O30" s="295"/>
      <c r="P30" s="295"/>
      <c r="R30" s="748"/>
      <c r="S30" s="748"/>
      <c r="T30" s="749"/>
    </row>
    <row r="31" spans="2:20" ht="15" customHeight="1" x14ac:dyDescent="0.2">
      <c r="B31" s="486" t="s">
        <v>498</v>
      </c>
      <c r="C31" s="186"/>
      <c r="D31" s="188"/>
      <c r="E31" s="187"/>
      <c r="F31" s="302">
        <v>0</v>
      </c>
      <c r="G31" s="295">
        <f t="shared" si="0"/>
        <v>0</v>
      </c>
      <c r="H31" s="298">
        <v>0.28999999999999998</v>
      </c>
      <c r="I31" s="234">
        <f t="shared" si="1"/>
        <v>0</v>
      </c>
      <c r="J31" s="295">
        <f>I31*VLOOKUP($B$9,'Base Costs'!$A$32:$B$37,2,FALSE)</f>
        <v>0</v>
      </c>
      <c r="K31" s="296">
        <f t="shared" si="2"/>
        <v>0</v>
      </c>
      <c r="M31" s="295"/>
      <c r="N31" s="295">
        <f t="shared" si="4"/>
        <v>0</v>
      </c>
      <c r="O31" s="295"/>
      <c r="P31" s="295"/>
      <c r="R31" s="748"/>
      <c r="S31" s="748"/>
      <c r="T31" s="749"/>
    </row>
    <row r="32" spans="2:20" ht="15" customHeight="1" x14ac:dyDescent="0.2">
      <c r="B32" s="486" t="s">
        <v>499</v>
      </c>
      <c r="C32" s="186"/>
      <c r="D32" s="188"/>
      <c r="E32" s="187"/>
      <c r="F32" s="302">
        <v>87</v>
      </c>
      <c r="G32" s="295">
        <f t="shared" si="0"/>
        <v>0</v>
      </c>
      <c r="H32" s="298">
        <v>0.28999999999999998</v>
      </c>
      <c r="I32" s="234">
        <f t="shared" si="1"/>
        <v>0</v>
      </c>
      <c r="J32" s="295">
        <f>I32*VLOOKUP($B$9,'Base Costs'!$A$32:$B$37,2,FALSE)</f>
        <v>0</v>
      </c>
      <c r="K32" s="296">
        <f t="shared" si="2"/>
        <v>0</v>
      </c>
      <c r="M32" s="295"/>
      <c r="N32" s="295">
        <f t="shared" si="4"/>
        <v>0</v>
      </c>
      <c r="O32" s="295"/>
      <c r="P32" s="295"/>
      <c r="R32" s="748"/>
      <c r="S32" s="748"/>
      <c r="T32" s="749"/>
    </row>
    <row r="33" spans="2:20" ht="15" customHeight="1" x14ac:dyDescent="0.2">
      <c r="B33" s="486" t="s">
        <v>487</v>
      </c>
      <c r="C33" s="186"/>
      <c r="D33" s="188"/>
      <c r="E33" s="187"/>
      <c r="F33" s="302">
        <v>0</v>
      </c>
      <c r="G33" s="295">
        <f t="shared" si="0"/>
        <v>0</v>
      </c>
      <c r="H33" s="298">
        <v>0.28999999999999998</v>
      </c>
      <c r="I33" s="234">
        <f t="shared" si="1"/>
        <v>0</v>
      </c>
      <c r="J33" s="295">
        <f>I33*VLOOKUP($B$9,'Base Costs'!$A$32:$B$37,2,FALSE)</f>
        <v>0</v>
      </c>
      <c r="K33" s="296">
        <f t="shared" si="2"/>
        <v>0</v>
      </c>
      <c r="M33" s="295"/>
      <c r="N33" s="295">
        <f t="shared" si="4"/>
        <v>0</v>
      </c>
      <c r="O33" s="295"/>
      <c r="P33" s="295"/>
      <c r="R33" s="748"/>
      <c r="S33" s="748"/>
      <c r="T33" s="749"/>
    </row>
    <row r="34" spans="2:20" ht="15" customHeight="1" x14ac:dyDescent="0.2">
      <c r="B34" s="486" t="s">
        <v>500</v>
      </c>
      <c r="C34" s="186"/>
      <c r="D34" s="188"/>
      <c r="E34" s="187"/>
      <c r="F34" s="302">
        <v>88.28</v>
      </c>
      <c r="G34" s="295">
        <f t="shared" si="0"/>
        <v>0</v>
      </c>
      <c r="H34" s="298">
        <v>0.28999999999999998</v>
      </c>
      <c r="I34" s="234">
        <f t="shared" si="1"/>
        <v>0</v>
      </c>
      <c r="J34" s="295">
        <f>I34*VLOOKUP($B$9,'Base Costs'!$A$32:$B$37,2,FALSE)</f>
        <v>0</v>
      </c>
      <c r="K34" s="296">
        <f t="shared" si="2"/>
        <v>0</v>
      </c>
      <c r="M34" s="295"/>
      <c r="N34" s="295">
        <f t="shared" si="4"/>
        <v>0</v>
      </c>
      <c r="O34" s="295"/>
      <c r="P34" s="295"/>
      <c r="R34" s="748"/>
      <c r="S34" s="748"/>
      <c r="T34" s="749"/>
    </row>
    <row r="35" spans="2:20" ht="15" customHeight="1" x14ac:dyDescent="0.2">
      <c r="B35" s="486" t="s">
        <v>390</v>
      </c>
      <c r="C35" s="186"/>
      <c r="D35" s="188"/>
      <c r="E35" s="187"/>
      <c r="F35" s="302">
        <v>0</v>
      </c>
      <c r="G35" s="295">
        <f t="shared" si="0"/>
        <v>0</v>
      </c>
      <c r="H35" s="298">
        <v>0.28999999999999998</v>
      </c>
      <c r="I35" s="234">
        <f t="shared" si="1"/>
        <v>0</v>
      </c>
      <c r="J35" s="295">
        <f>I35*VLOOKUP($B$9,'Base Costs'!$A$32:$B$37,2,FALSE)</f>
        <v>0</v>
      </c>
      <c r="K35" s="296">
        <f t="shared" si="2"/>
        <v>0</v>
      </c>
      <c r="M35" s="295"/>
      <c r="N35" s="295">
        <f t="shared" si="4"/>
        <v>0</v>
      </c>
      <c r="O35" s="295"/>
      <c r="P35" s="295"/>
      <c r="R35" s="748"/>
      <c r="S35" s="748"/>
      <c r="T35" s="749"/>
    </row>
    <row r="36" spans="2:20" ht="15" customHeight="1" x14ac:dyDescent="0.2">
      <c r="B36" s="486" t="s">
        <v>486</v>
      </c>
      <c r="C36" s="186"/>
      <c r="D36" s="188"/>
      <c r="E36" s="187"/>
      <c r="F36" s="302">
        <f>26*1.03</f>
        <v>26.78</v>
      </c>
      <c r="G36" s="295">
        <f t="shared" si="0"/>
        <v>0</v>
      </c>
      <c r="H36" s="298">
        <v>0.28999999999999998</v>
      </c>
      <c r="I36" s="234">
        <f t="shared" si="1"/>
        <v>0</v>
      </c>
      <c r="J36" s="295">
        <f>I36*VLOOKUP($B$9,'Base Costs'!$A$32:$B$37,2,FALSE)</f>
        <v>0</v>
      </c>
      <c r="K36" s="296">
        <f t="shared" si="2"/>
        <v>0</v>
      </c>
      <c r="M36" s="295"/>
      <c r="N36" s="295">
        <f t="shared" si="4"/>
        <v>0</v>
      </c>
      <c r="O36" s="295"/>
      <c r="P36" s="295"/>
      <c r="R36" s="748"/>
      <c r="S36" s="748"/>
      <c r="T36" s="749"/>
    </row>
    <row r="37" spans="2:20" ht="15" customHeight="1" x14ac:dyDescent="0.2">
      <c r="B37" s="486" t="s">
        <v>501</v>
      </c>
      <c r="C37" s="186"/>
      <c r="D37" s="188"/>
      <c r="E37" s="187"/>
      <c r="F37" s="302">
        <v>444</v>
      </c>
      <c r="G37" s="295">
        <f t="shared" si="0"/>
        <v>0</v>
      </c>
      <c r="H37" s="298">
        <v>0.28999999999999998</v>
      </c>
      <c r="I37" s="234">
        <f t="shared" si="1"/>
        <v>0</v>
      </c>
      <c r="J37" s="295">
        <f>I37*VLOOKUP($B$9,'Base Costs'!$A$32:$B$37,2,FALSE)</f>
        <v>0</v>
      </c>
      <c r="K37" s="296">
        <f t="shared" si="2"/>
        <v>0</v>
      </c>
      <c r="M37" s="295"/>
      <c r="N37" s="295">
        <f t="shared" si="4"/>
        <v>0</v>
      </c>
      <c r="O37" s="295"/>
      <c r="P37" s="295"/>
      <c r="R37" s="748"/>
      <c r="S37" s="748"/>
      <c r="T37" s="749"/>
    </row>
    <row r="38" spans="2:20" ht="15" customHeight="1" x14ac:dyDescent="0.2">
      <c r="B38" s="486" t="s">
        <v>489</v>
      </c>
      <c r="C38" s="186"/>
      <c r="D38" s="188"/>
      <c r="E38" s="187"/>
      <c r="F38" s="302">
        <v>0</v>
      </c>
      <c r="G38" s="295">
        <f t="shared" si="0"/>
        <v>0</v>
      </c>
      <c r="H38" s="298">
        <v>0.28999999999999998</v>
      </c>
      <c r="I38" s="234">
        <f t="shared" si="1"/>
        <v>0</v>
      </c>
      <c r="J38" s="295">
        <f>I38*VLOOKUP($B$9,'Base Costs'!$A$32:$B$37,2,FALSE)</f>
        <v>0</v>
      </c>
      <c r="K38" s="296">
        <f t="shared" si="2"/>
        <v>0</v>
      </c>
      <c r="M38" s="295"/>
      <c r="N38" s="295">
        <f t="shared" si="4"/>
        <v>0</v>
      </c>
      <c r="O38" s="295"/>
      <c r="P38" s="295"/>
      <c r="R38" s="748"/>
      <c r="S38" s="748"/>
      <c r="T38" s="749"/>
    </row>
    <row r="39" spans="2:20" ht="15" customHeight="1" x14ac:dyDescent="0.2">
      <c r="B39" s="486" t="s">
        <v>489</v>
      </c>
      <c r="C39" s="186"/>
      <c r="D39" s="188"/>
      <c r="E39" s="187"/>
      <c r="F39" s="302">
        <v>0</v>
      </c>
      <c r="G39" s="295">
        <f t="shared" si="0"/>
        <v>0</v>
      </c>
      <c r="H39" s="298">
        <v>0.28999999999999998</v>
      </c>
      <c r="I39" s="234">
        <f t="shared" si="1"/>
        <v>0</v>
      </c>
      <c r="J39" s="295">
        <f>I39*VLOOKUP($B$9,'Base Costs'!$A$32:$B$37,2,FALSE)</f>
        <v>0</v>
      </c>
      <c r="K39" s="296">
        <f t="shared" si="2"/>
        <v>0</v>
      </c>
      <c r="M39" s="295"/>
      <c r="N39" s="295">
        <f t="shared" si="4"/>
        <v>0</v>
      </c>
      <c r="O39" s="295"/>
      <c r="P39" s="295"/>
      <c r="R39" s="748"/>
      <c r="S39" s="748"/>
      <c r="T39" s="749"/>
    </row>
    <row r="40" spans="2:20" ht="15" customHeight="1" x14ac:dyDescent="0.2">
      <c r="B40" s="487" t="s">
        <v>489</v>
      </c>
      <c r="C40" s="186"/>
      <c r="D40" s="695"/>
      <c r="E40" s="187"/>
      <c r="F40" s="302"/>
      <c r="G40" s="295">
        <f t="shared" si="0"/>
        <v>0</v>
      </c>
      <c r="H40" s="298">
        <v>0.28999999999999998</v>
      </c>
      <c r="I40" s="234">
        <f t="shared" si="1"/>
        <v>0</v>
      </c>
      <c r="J40" s="295">
        <f>I40*VLOOKUP($B$9,'Base Costs'!$A$32:$B$37,2,FALSE)</f>
        <v>0</v>
      </c>
      <c r="K40" s="296">
        <f t="shared" si="2"/>
        <v>0</v>
      </c>
      <c r="M40" s="295"/>
      <c r="N40" s="295"/>
      <c r="O40" s="295"/>
      <c r="P40" s="295">
        <f t="shared" ref="P40:P49" si="5">J40</f>
        <v>0</v>
      </c>
      <c r="R40" s="748"/>
      <c r="S40" s="748"/>
      <c r="T40" s="749"/>
    </row>
    <row r="41" spans="2:20" ht="15" customHeight="1" x14ac:dyDescent="0.2">
      <c r="B41" s="487" t="s">
        <v>489</v>
      </c>
      <c r="C41" s="186"/>
      <c r="D41" s="696"/>
      <c r="E41" s="187"/>
      <c r="F41" s="302"/>
      <c r="G41" s="295">
        <f t="shared" si="0"/>
        <v>0</v>
      </c>
      <c r="H41" s="298">
        <v>0.28999999999999998</v>
      </c>
      <c r="I41" s="234">
        <f t="shared" si="1"/>
        <v>0</v>
      </c>
      <c r="J41" s="295">
        <f>I41*VLOOKUP($B$9,'Base Costs'!$A$32:$B$37,2,FALSE)</f>
        <v>0</v>
      </c>
      <c r="K41" s="296">
        <f t="shared" si="2"/>
        <v>0</v>
      </c>
      <c r="M41" s="295"/>
      <c r="N41" s="295"/>
      <c r="O41" s="295"/>
      <c r="P41" s="295">
        <f t="shared" si="5"/>
        <v>0</v>
      </c>
      <c r="R41" s="748"/>
      <c r="S41" s="748"/>
      <c r="T41" s="749"/>
    </row>
    <row r="42" spans="2:20" ht="15" customHeight="1" x14ac:dyDescent="0.2">
      <c r="B42" s="487" t="s">
        <v>489</v>
      </c>
      <c r="C42" s="186"/>
      <c r="D42" s="696"/>
      <c r="E42" s="187"/>
      <c r="F42" s="302"/>
      <c r="G42" s="295">
        <f t="shared" si="0"/>
        <v>0</v>
      </c>
      <c r="H42" s="298">
        <v>0.28999999999999998</v>
      </c>
      <c r="I42" s="234">
        <f t="shared" si="1"/>
        <v>0</v>
      </c>
      <c r="J42" s="295">
        <f>I42*VLOOKUP($B$9,'Base Costs'!$A$32:$B$37,2,FALSE)</f>
        <v>0</v>
      </c>
      <c r="K42" s="296">
        <f t="shared" si="2"/>
        <v>0</v>
      </c>
      <c r="M42" s="295"/>
      <c r="N42" s="295"/>
      <c r="O42" s="295"/>
      <c r="P42" s="295">
        <f t="shared" si="5"/>
        <v>0</v>
      </c>
      <c r="R42" s="748"/>
      <c r="S42" s="748"/>
      <c r="T42" s="749"/>
    </row>
    <row r="43" spans="2:20" ht="15" customHeight="1" x14ac:dyDescent="0.2">
      <c r="B43" s="487" t="s">
        <v>489</v>
      </c>
      <c r="C43" s="186"/>
      <c r="D43" s="188"/>
      <c r="E43" s="187"/>
      <c r="F43" s="302">
        <v>0</v>
      </c>
      <c r="G43" s="295">
        <f t="shared" si="0"/>
        <v>0</v>
      </c>
      <c r="H43" s="298">
        <v>0.28999999999999998</v>
      </c>
      <c r="I43" s="234">
        <f t="shared" si="1"/>
        <v>0</v>
      </c>
      <c r="J43" s="295">
        <f>I43*VLOOKUP($B$9,'Base Costs'!$A$32:$B$37,2,FALSE)</f>
        <v>0</v>
      </c>
      <c r="K43" s="296">
        <f t="shared" si="2"/>
        <v>0</v>
      </c>
      <c r="M43" s="295"/>
      <c r="N43" s="295"/>
      <c r="O43" s="295"/>
      <c r="P43" s="295">
        <f t="shared" si="5"/>
        <v>0</v>
      </c>
      <c r="R43" s="748"/>
      <c r="S43" s="748"/>
      <c r="T43" s="749"/>
    </row>
    <row r="44" spans="2:20" ht="15" customHeight="1" x14ac:dyDescent="0.2">
      <c r="B44" s="487" t="s">
        <v>489</v>
      </c>
      <c r="C44" s="186"/>
      <c r="D44" s="188"/>
      <c r="E44" s="187"/>
      <c r="F44" s="302">
        <v>0</v>
      </c>
      <c r="G44" s="295">
        <f t="shared" si="0"/>
        <v>0</v>
      </c>
      <c r="H44" s="298">
        <v>0.28999999999999998</v>
      </c>
      <c r="I44" s="234">
        <f t="shared" si="1"/>
        <v>0</v>
      </c>
      <c r="J44" s="295">
        <f>I44*VLOOKUP($B$9,'Base Costs'!$A$32:$B$37,2,FALSE)</f>
        <v>0</v>
      </c>
      <c r="K44" s="296">
        <f t="shared" si="2"/>
        <v>0</v>
      </c>
      <c r="M44" s="295"/>
      <c r="N44" s="295"/>
      <c r="O44" s="295"/>
      <c r="P44" s="295">
        <f t="shared" si="5"/>
        <v>0</v>
      </c>
      <c r="R44" s="748"/>
      <c r="S44" s="748"/>
      <c r="T44" s="749"/>
    </row>
    <row r="45" spans="2:20" ht="15" customHeight="1" x14ac:dyDescent="0.2">
      <c r="B45" s="487" t="s">
        <v>489</v>
      </c>
      <c r="C45" s="186"/>
      <c r="D45" s="188"/>
      <c r="E45" s="187"/>
      <c r="F45" s="302">
        <v>0</v>
      </c>
      <c r="G45" s="295">
        <f t="shared" si="0"/>
        <v>0</v>
      </c>
      <c r="H45" s="298">
        <v>0.28999999999999998</v>
      </c>
      <c r="I45" s="234">
        <f t="shared" si="1"/>
        <v>0</v>
      </c>
      <c r="J45" s="295">
        <f>I45*VLOOKUP($B$9,'Base Costs'!$A$32:$B$37,2,FALSE)</f>
        <v>0</v>
      </c>
      <c r="K45" s="296">
        <f t="shared" si="2"/>
        <v>0</v>
      </c>
      <c r="M45" s="295"/>
      <c r="N45" s="295"/>
      <c r="O45" s="295"/>
      <c r="P45" s="295">
        <f t="shared" si="5"/>
        <v>0</v>
      </c>
      <c r="R45" s="748"/>
      <c r="S45" s="748"/>
      <c r="T45" s="749"/>
    </row>
    <row r="46" spans="2:20" ht="15" customHeight="1" x14ac:dyDescent="0.2">
      <c r="B46" s="487" t="s">
        <v>489</v>
      </c>
      <c r="C46" s="186"/>
      <c r="D46" s="188"/>
      <c r="E46" s="187"/>
      <c r="F46" s="302">
        <v>0</v>
      </c>
      <c r="G46" s="295">
        <f t="shared" si="0"/>
        <v>0</v>
      </c>
      <c r="H46" s="298">
        <v>0.28999999999999998</v>
      </c>
      <c r="I46" s="234">
        <f t="shared" si="1"/>
        <v>0</v>
      </c>
      <c r="J46" s="295">
        <f>I46*VLOOKUP($B$9,'Base Costs'!$A$32:$B$37,2,FALSE)</f>
        <v>0</v>
      </c>
      <c r="K46" s="296">
        <f t="shared" si="2"/>
        <v>0</v>
      </c>
      <c r="M46" s="295"/>
      <c r="N46" s="295"/>
      <c r="O46" s="295"/>
      <c r="P46" s="295">
        <f t="shared" si="5"/>
        <v>0</v>
      </c>
      <c r="R46" s="748"/>
      <c r="S46" s="748"/>
      <c r="T46" s="749"/>
    </row>
    <row r="47" spans="2:20" ht="15" customHeight="1" x14ac:dyDescent="0.2">
      <c r="B47" s="487" t="s">
        <v>502</v>
      </c>
      <c r="C47" s="186"/>
      <c r="D47" s="980" t="s">
        <v>503</v>
      </c>
      <c r="E47" s="981"/>
      <c r="F47" s="302">
        <v>550</v>
      </c>
      <c r="G47" s="295">
        <f t="shared" si="0"/>
        <v>0</v>
      </c>
      <c r="H47" s="298">
        <v>0.28999999999999998</v>
      </c>
      <c r="I47" s="234">
        <f t="shared" si="1"/>
        <v>0</v>
      </c>
      <c r="J47" s="295">
        <f>I47*VLOOKUP($B$9,'Base Costs'!$A$32:$B$37,2,FALSE)</f>
        <v>0</v>
      </c>
      <c r="K47" s="296">
        <f t="shared" si="2"/>
        <v>0</v>
      </c>
      <c r="M47" s="295"/>
      <c r="N47" s="295"/>
      <c r="O47" s="295"/>
      <c r="P47" s="295">
        <f t="shared" si="5"/>
        <v>0</v>
      </c>
      <c r="R47" s="748"/>
      <c r="S47" s="748"/>
      <c r="T47" s="749"/>
    </row>
    <row r="48" spans="2:20" ht="15" customHeight="1" x14ac:dyDescent="0.2">
      <c r="B48" s="487" t="s">
        <v>504</v>
      </c>
      <c r="C48" s="186"/>
      <c r="D48" s="696" t="s">
        <v>505</v>
      </c>
      <c r="E48" s="187"/>
      <c r="F48" s="302">
        <v>75</v>
      </c>
      <c r="G48" s="295">
        <f t="shared" si="0"/>
        <v>0</v>
      </c>
      <c r="H48" s="298">
        <v>0.28999999999999998</v>
      </c>
      <c r="I48" s="234">
        <f t="shared" si="1"/>
        <v>0</v>
      </c>
      <c r="J48" s="295">
        <f>I48*VLOOKUP($B$9,'Base Costs'!$A$32:$B$37,2,FALSE)</f>
        <v>0</v>
      </c>
      <c r="K48" s="296">
        <f t="shared" si="2"/>
        <v>0</v>
      </c>
      <c r="M48" s="295"/>
      <c r="N48" s="295"/>
      <c r="O48" s="295"/>
      <c r="P48" s="295">
        <f t="shared" si="5"/>
        <v>0</v>
      </c>
      <c r="R48" s="748"/>
      <c r="S48" s="748"/>
      <c r="T48" s="749"/>
    </row>
    <row r="49" spans="2:25" ht="15" customHeight="1" x14ac:dyDescent="0.2">
      <c r="B49" s="487" t="s">
        <v>113</v>
      </c>
      <c r="C49" s="186"/>
      <c r="D49" s="696" t="s">
        <v>506</v>
      </c>
      <c r="E49" s="187"/>
      <c r="F49" s="302">
        <v>150</v>
      </c>
      <c r="G49" s="295">
        <f t="shared" si="0"/>
        <v>0</v>
      </c>
      <c r="H49" s="298">
        <v>0.28999999999999998</v>
      </c>
      <c r="I49" s="234">
        <f t="shared" si="1"/>
        <v>0</v>
      </c>
      <c r="J49" s="295">
        <f>I49*VLOOKUP($B$9,'Base Costs'!$A$32:$B$37,2,FALSE)</f>
        <v>0</v>
      </c>
      <c r="K49" s="296">
        <f t="shared" si="2"/>
        <v>0</v>
      </c>
      <c r="M49" s="295"/>
      <c r="N49" s="295"/>
      <c r="O49" s="295"/>
      <c r="P49" s="295">
        <f t="shared" si="5"/>
        <v>0</v>
      </c>
      <c r="R49" s="748"/>
      <c r="S49" s="748"/>
      <c r="T49" s="749"/>
    </row>
    <row r="50" spans="2:25" ht="15" customHeight="1" x14ac:dyDescent="0.2">
      <c r="B50" s="488" t="s">
        <v>507</v>
      </c>
      <c r="C50" s="186"/>
      <c r="D50" s="190"/>
      <c r="E50" s="187"/>
      <c r="F50" s="302">
        <v>0</v>
      </c>
      <c r="G50" s="295">
        <f t="shared" si="0"/>
        <v>0</v>
      </c>
      <c r="H50" s="298">
        <v>0.28999999999999998</v>
      </c>
      <c r="I50" s="234">
        <f t="shared" si="1"/>
        <v>0</v>
      </c>
      <c r="J50" s="295">
        <f>I50*VLOOKUP($B$9,'Base Costs'!$A$32:$B$37,2,FALSE)</f>
        <v>0</v>
      </c>
      <c r="K50" s="296">
        <f t="shared" si="2"/>
        <v>0</v>
      </c>
      <c r="M50" s="295"/>
      <c r="N50" s="295"/>
      <c r="O50" s="295">
        <f>J50</f>
        <v>0</v>
      </c>
      <c r="P50" s="295"/>
      <c r="R50" s="748"/>
      <c r="S50" s="748"/>
      <c r="T50" s="749"/>
    </row>
    <row r="51" spans="2:25" ht="15" customHeight="1" x14ac:dyDescent="0.2">
      <c r="B51" s="488" t="s">
        <v>475</v>
      </c>
      <c r="C51" s="186"/>
      <c r="D51" s="190"/>
      <c r="E51" s="187"/>
      <c r="F51" s="302">
        <v>0</v>
      </c>
      <c r="G51" s="295">
        <f t="shared" si="0"/>
        <v>0</v>
      </c>
      <c r="H51" s="298">
        <v>0.28999999999999998</v>
      </c>
      <c r="I51" s="234">
        <f t="shared" si="1"/>
        <v>0</v>
      </c>
      <c r="J51" s="295">
        <f>I51*VLOOKUP($B$9,'Base Costs'!$A$32:$B$37,2,FALSE)</f>
        <v>0</v>
      </c>
      <c r="K51" s="296">
        <f t="shared" si="2"/>
        <v>0</v>
      </c>
      <c r="M51" s="295"/>
      <c r="N51" s="295"/>
      <c r="O51" s="295">
        <f>J51</f>
        <v>0</v>
      </c>
      <c r="P51" s="295"/>
      <c r="R51" s="748"/>
      <c r="S51" s="748"/>
      <c r="T51" s="749"/>
    </row>
    <row r="52" spans="2:25" ht="15" customHeight="1" x14ac:dyDescent="0.2">
      <c r="B52" s="488" t="s">
        <v>508</v>
      </c>
      <c r="C52" s="186"/>
      <c r="D52" s="188"/>
      <c r="E52" s="187"/>
      <c r="F52" s="302">
        <v>0</v>
      </c>
      <c r="G52" s="295">
        <f t="shared" si="0"/>
        <v>0</v>
      </c>
      <c r="H52" s="298">
        <v>0.28999999999999998</v>
      </c>
      <c r="I52" s="234">
        <f t="shared" si="1"/>
        <v>0</v>
      </c>
      <c r="J52" s="295">
        <f>I52*VLOOKUP($B$9,'Base Costs'!$A$32:$B$37,2,FALSE)</f>
        <v>0</v>
      </c>
      <c r="K52" s="296">
        <f t="shared" si="2"/>
        <v>0</v>
      </c>
      <c r="M52" s="295"/>
      <c r="N52" s="295"/>
      <c r="O52" s="295">
        <f>J52</f>
        <v>0</v>
      </c>
      <c r="P52" s="295"/>
      <c r="R52" s="748"/>
      <c r="S52" s="748"/>
      <c r="T52" s="749"/>
    </row>
    <row r="53" spans="2:25" ht="15" customHeight="1" x14ac:dyDescent="0.2">
      <c r="B53" s="488" t="s">
        <v>489</v>
      </c>
      <c r="C53" s="186"/>
      <c r="D53" s="188"/>
      <c r="E53" s="187"/>
      <c r="F53" s="302">
        <v>0</v>
      </c>
      <c r="G53" s="295">
        <f t="shared" si="0"/>
        <v>0</v>
      </c>
      <c r="H53" s="298">
        <v>0.28999999999999998</v>
      </c>
      <c r="I53" s="234">
        <f t="shared" si="1"/>
        <v>0</v>
      </c>
      <c r="J53" s="295">
        <f>I53*VLOOKUP($B$9,'Base Costs'!$A$32:$B$37,2,FALSE)</f>
        <v>0</v>
      </c>
      <c r="K53" s="296">
        <f t="shared" si="2"/>
        <v>0</v>
      </c>
      <c r="M53" s="295"/>
      <c r="N53" s="295"/>
      <c r="O53" s="295">
        <f>J53</f>
        <v>0</v>
      </c>
      <c r="P53" s="295"/>
      <c r="R53" s="748"/>
      <c r="S53" s="748"/>
      <c r="T53" s="749"/>
    </row>
    <row r="54" spans="2:25" ht="15" customHeight="1" x14ac:dyDescent="0.2">
      <c r="B54" s="488" t="s">
        <v>489</v>
      </c>
      <c r="C54" s="186"/>
      <c r="D54" s="188"/>
      <c r="E54" s="187"/>
      <c r="F54" s="302">
        <v>0</v>
      </c>
      <c r="G54" s="295">
        <f t="shared" si="0"/>
        <v>0</v>
      </c>
      <c r="H54" s="298">
        <v>0.28999999999999998</v>
      </c>
      <c r="I54" s="234">
        <f t="shared" si="1"/>
        <v>0</v>
      </c>
      <c r="J54" s="295">
        <f>I54*VLOOKUP($B$9,'Base Costs'!$A$32:$B$37,2,FALSE)</f>
        <v>0</v>
      </c>
      <c r="K54" s="296">
        <f t="shared" si="2"/>
        <v>0</v>
      </c>
      <c r="M54" s="295"/>
      <c r="N54" s="295"/>
      <c r="O54" s="295">
        <f>J54</f>
        <v>0</v>
      </c>
      <c r="P54" s="295"/>
      <c r="R54" s="748"/>
      <c r="S54" s="748"/>
      <c r="T54" s="749"/>
    </row>
    <row r="55" spans="2:25" ht="15" customHeight="1" x14ac:dyDescent="0.2">
      <c r="B55" s="110"/>
      <c r="C55" s="116"/>
      <c r="D55" s="108"/>
      <c r="F55" s="242"/>
      <c r="G55" s="242"/>
      <c r="H55" s="247"/>
      <c r="I55" s="242"/>
      <c r="J55" s="242"/>
      <c r="K55" s="248"/>
      <c r="R55" s="748"/>
      <c r="S55" s="748"/>
      <c r="T55" s="749"/>
    </row>
    <row r="56" spans="2:25" s="92" customFormat="1" ht="15" customHeight="1" x14ac:dyDescent="0.15">
      <c r="B56" s="982" t="s">
        <v>88</v>
      </c>
      <c r="C56" s="979"/>
      <c r="D56" s="979"/>
      <c r="E56" s="979"/>
      <c r="F56" s="249"/>
      <c r="G56" s="123">
        <f>SUBTOTAL(9,G57:G66)</f>
        <v>0</v>
      </c>
      <c r="H56" s="15" t="str">
        <f>IF(G56=0,"-",K56/I56)</f>
        <v>-</v>
      </c>
      <c r="I56" s="123">
        <f>SUBTOTAL(9,I57:I66)</f>
        <v>0</v>
      </c>
      <c r="J56" s="382">
        <f>SUBTOTAL(9,J57:J66)</f>
        <v>0</v>
      </c>
      <c r="K56" s="123">
        <f>SUBTOTAL(9,K57:K66)</f>
        <v>0</v>
      </c>
      <c r="M56" s="219"/>
      <c r="N56" s="219"/>
      <c r="O56" s="219"/>
      <c r="P56" s="219"/>
      <c r="R56" s="750"/>
      <c r="S56" s="750"/>
      <c r="T56" s="750"/>
      <c r="V56" s="95"/>
      <c r="Y56" s="96"/>
    </row>
    <row r="57" spans="2:25" s="92" customFormat="1" ht="15" customHeight="1" x14ac:dyDescent="0.15">
      <c r="B57" s="492" t="s">
        <v>462</v>
      </c>
      <c r="C57" s="33"/>
      <c r="D57" s="233" t="s">
        <v>95</v>
      </c>
      <c r="E57" s="28"/>
      <c r="F57" s="302">
        <f>VLOOKUP(D57,'Base Costs'!E4:G221,2,FALSE)</f>
        <v>0</v>
      </c>
      <c r="G57" s="295">
        <f t="shared" ref="G57:G66" si="6">C57*F57</f>
        <v>0</v>
      </c>
      <c r="H57" s="298">
        <v>0.33</v>
      </c>
      <c r="I57" s="234">
        <f t="shared" ref="I57:I66" si="7">G57/(1-H57)*(1+$C$9)</f>
        <v>0</v>
      </c>
      <c r="J57" s="295">
        <f>I57*VLOOKUP($B$9,'Base Costs'!$A$32:$B$37,2,FALSE)</f>
        <v>0</v>
      </c>
      <c r="K57" s="296">
        <f t="shared" ref="K57:K66" si="8">I57-G57</f>
        <v>0</v>
      </c>
      <c r="M57" s="219"/>
      <c r="N57" s="219"/>
      <c r="O57" s="219"/>
      <c r="P57" s="219"/>
      <c r="R57" s="750"/>
      <c r="S57" s="750"/>
      <c r="T57" s="750"/>
      <c r="V57" s="95"/>
      <c r="Y57" s="96"/>
    </row>
    <row r="58" spans="2:25" s="92" customFormat="1" ht="15" customHeight="1" x14ac:dyDescent="0.15">
      <c r="B58" s="487" t="s">
        <v>463</v>
      </c>
      <c r="C58" s="33"/>
      <c r="D58" s="233" t="s">
        <v>93</v>
      </c>
      <c r="E58" s="28"/>
      <c r="F58" s="302">
        <f>VLOOKUP(D58,'Base Costs'!A4:B28,2,FALSE)</f>
        <v>0</v>
      </c>
      <c r="G58" s="295">
        <f t="shared" si="6"/>
        <v>0</v>
      </c>
      <c r="H58" s="303">
        <v>0.33</v>
      </c>
      <c r="I58" s="234">
        <f t="shared" si="7"/>
        <v>0</v>
      </c>
      <c r="J58" s="295">
        <f>I58*VLOOKUP($B$9,'Base Costs'!$A$32:$B$37,2,FALSE)</f>
        <v>0</v>
      </c>
      <c r="K58" s="296">
        <f t="shared" si="8"/>
        <v>0</v>
      </c>
      <c r="M58" s="219"/>
      <c r="N58" s="219"/>
      <c r="O58" s="219"/>
      <c r="P58" s="219"/>
      <c r="R58" s="750"/>
      <c r="S58" s="750"/>
      <c r="T58" s="750"/>
      <c r="V58" s="95"/>
      <c r="Y58" s="96"/>
    </row>
    <row r="59" spans="2:25" s="92" customFormat="1" ht="15" customHeight="1" x14ac:dyDescent="0.15">
      <c r="B59" s="487" t="s">
        <v>96</v>
      </c>
      <c r="C59" s="33"/>
      <c r="D59" s="28" t="s">
        <v>97</v>
      </c>
      <c r="E59" s="28"/>
      <c r="F59" s="302">
        <v>610</v>
      </c>
      <c r="G59" s="295">
        <f t="shared" si="6"/>
        <v>0</v>
      </c>
      <c r="H59" s="303">
        <v>0.33</v>
      </c>
      <c r="I59" s="234">
        <f t="shared" si="7"/>
        <v>0</v>
      </c>
      <c r="J59" s="295">
        <f>I59*VLOOKUP($B$9,'Base Costs'!$A$32:$B$37,2,FALSE)</f>
        <v>0</v>
      </c>
      <c r="K59" s="296">
        <f t="shared" si="8"/>
        <v>0</v>
      </c>
      <c r="M59" s="219"/>
      <c r="N59" s="219"/>
      <c r="O59" s="219"/>
      <c r="P59" s="219"/>
      <c r="R59" s="750"/>
      <c r="S59" s="750"/>
      <c r="T59" s="750"/>
      <c r="V59" s="95"/>
      <c r="Y59" s="96"/>
    </row>
    <row r="60" spans="2:25" s="92" customFormat="1" ht="15" customHeight="1" x14ac:dyDescent="0.15">
      <c r="B60" s="487" t="s">
        <v>465</v>
      </c>
      <c r="C60" s="33"/>
      <c r="D60" s="28"/>
      <c r="E60" s="28"/>
      <c r="F60" s="302">
        <v>200</v>
      </c>
      <c r="G60" s="295">
        <f t="shared" si="6"/>
        <v>0</v>
      </c>
      <c r="H60" s="303">
        <v>0.33</v>
      </c>
      <c r="I60" s="234">
        <f t="shared" si="7"/>
        <v>0</v>
      </c>
      <c r="J60" s="295">
        <f>I60*VLOOKUP($B$9,'Base Costs'!$A$32:$B$37,2,FALSE)</f>
        <v>0</v>
      </c>
      <c r="K60" s="296">
        <f t="shared" si="8"/>
        <v>0</v>
      </c>
      <c r="M60" s="219"/>
      <c r="N60" s="219"/>
      <c r="O60" s="219"/>
      <c r="P60" s="219"/>
      <c r="R60" s="750"/>
      <c r="S60" s="750"/>
      <c r="T60" s="750"/>
      <c r="V60" s="95"/>
      <c r="Y60" s="96"/>
    </row>
    <row r="61" spans="2:25" s="92" customFormat="1" ht="15" customHeight="1" x14ac:dyDescent="0.15">
      <c r="B61" s="487" t="s">
        <v>100</v>
      </c>
      <c r="C61" s="33"/>
      <c r="D61" s="28" t="s">
        <v>509</v>
      </c>
      <c r="E61" s="28"/>
      <c r="F61" s="302">
        <v>610</v>
      </c>
      <c r="G61" s="295">
        <f t="shared" si="6"/>
        <v>0</v>
      </c>
      <c r="H61" s="303">
        <v>0.4</v>
      </c>
      <c r="I61" s="234">
        <f t="shared" si="7"/>
        <v>0</v>
      </c>
      <c r="J61" s="295">
        <f>I61*VLOOKUP($B$9,'Base Costs'!$A$32:$B$37,2,FALSE)</f>
        <v>0</v>
      </c>
      <c r="K61" s="296">
        <f t="shared" si="8"/>
        <v>0</v>
      </c>
      <c r="M61" s="219"/>
      <c r="N61" s="219"/>
      <c r="O61" s="219"/>
      <c r="P61" s="219"/>
      <c r="R61" s="750"/>
      <c r="S61" s="750"/>
      <c r="T61" s="750"/>
      <c r="V61" s="95"/>
      <c r="Y61" s="96"/>
    </row>
    <row r="62" spans="2:25" s="92" customFormat="1" ht="15" customHeight="1" x14ac:dyDescent="0.15">
      <c r="B62" s="487" t="s">
        <v>102</v>
      </c>
      <c r="C62" s="33"/>
      <c r="D62" s="28" t="s">
        <v>509</v>
      </c>
      <c r="E62" s="28"/>
      <c r="F62" s="302">
        <v>1220</v>
      </c>
      <c r="G62" s="295">
        <f t="shared" si="6"/>
        <v>0</v>
      </c>
      <c r="H62" s="303">
        <v>0.4</v>
      </c>
      <c r="I62" s="234">
        <f t="shared" si="7"/>
        <v>0</v>
      </c>
      <c r="J62" s="295">
        <f>I62*VLOOKUP($B$9,'Base Costs'!$A$32:$B$37,2,FALSE)</f>
        <v>0</v>
      </c>
      <c r="K62" s="296">
        <f t="shared" si="8"/>
        <v>0</v>
      </c>
      <c r="M62" s="219"/>
      <c r="N62" s="219"/>
      <c r="O62" s="219"/>
      <c r="P62" s="219"/>
      <c r="R62" s="750"/>
      <c r="S62" s="750"/>
      <c r="T62" s="750"/>
      <c r="V62" s="95"/>
      <c r="Y62" s="96"/>
    </row>
    <row r="63" spans="2:25" s="92" customFormat="1" ht="15" customHeight="1" x14ac:dyDescent="0.15">
      <c r="B63" s="487" t="s">
        <v>467</v>
      </c>
      <c r="C63" s="33"/>
      <c r="D63" s="28" t="s">
        <v>106</v>
      </c>
      <c r="E63" s="28"/>
      <c r="F63" s="302"/>
      <c r="G63" s="295">
        <f t="shared" si="6"/>
        <v>0</v>
      </c>
      <c r="H63" s="303">
        <v>0.33</v>
      </c>
      <c r="I63" s="234">
        <f t="shared" si="7"/>
        <v>0</v>
      </c>
      <c r="J63" s="295">
        <f>I63*VLOOKUP($B$9,'Base Costs'!$A$32:$B$37,2,FALSE)</f>
        <v>0</v>
      </c>
      <c r="K63" s="296">
        <f t="shared" si="8"/>
        <v>0</v>
      </c>
      <c r="M63" s="219"/>
      <c r="N63" s="219"/>
      <c r="O63" s="219"/>
      <c r="P63" s="219"/>
      <c r="R63" s="750"/>
      <c r="S63" s="750"/>
      <c r="T63" s="750"/>
      <c r="V63" s="95"/>
      <c r="Y63" s="96"/>
    </row>
    <row r="64" spans="2:25" s="92" customFormat="1" ht="15" customHeight="1" x14ac:dyDescent="0.15">
      <c r="B64" s="487" t="s">
        <v>468</v>
      </c>
      <c r="C64" s="33"/>
      <c r="D64" s="28" t="s">
        <v>106</v>
      </c>
      <c r="E64" s="28"/>
      <c r="F64" s="302">
        <v>220</v>
      </c>
      <c r="G64" s="295">
        <f t="shared" si="6"/>
        <v>0</v>
      </c>
      <c r="H64" s="303">
        <v>0.33</v>
      </c>
      <c r="I64" s="234">
        <f t="shared" si="7"/>
        <v>0</v>
      </c>
      <c r="J64" s="295">
        <f>I64*VLOOKUP($B$9,'Base Costs'!$A$32:$B$37,2,FALSE)</f>
        <v>0</v>
      </c>
      <c r="K64" s="296">
        <f t="shared" si="8"/>
        <v>0</v>
      </c>
      <c r="M64" s="219"/>
      <c r="N64" s="219"/>
      <c r="O64" s="219"/>
      <c r="P64" s="219"/>
      <c r="R64" s="750"/>
      <c r="S64" s="750"/>
      <c r="T64" s="750"/>
      <c r="V64" s="95"/>
      <c r="Y64" s="96"/>
    </row>
    <row r="65" spans="2:25" s="92" customFormat="1" ht="15" customHeight="1" x14ac:dyDescent="0.15">
      <c r="B65" s="487" t="s">
        <v>469</v>
      </c>
      <c r="C65" s="33"/>
      <c r="D65" s="28"/>
      <c r="E65" s="28"/>
      <c r="F65" s="302">
        <v>150</v>
      </c>
      <c r="G65" s="295">
        <f t="shared" si="6"/>
        <v>0</v>
      </c>
      <c r="H65" s="303">
        <v>0.33</v>
      </c>
      <c r="I65" s="234">
        <f t="shared" si="7"/>
        <v>0</v>
      </c>
      <c r="J65" s="295">
        <f>I65*VLOOKUP($B$9,'Base Costs'!$A$32:$B$37,2,FALSE)</f>
        <v>0</v>
      </c>
      <c r="K65" s="296">
        <f t="shared" si="8"/>
        <v>0</v>
      </c>
      <c r="M65" s="219"/>
      <c r="N65" s="219"/>
      <c r="O65" s="219"/>
      <c r="P65" s="219"/>
      <c r="R65" s="750"/>
      <c r="S65" s="750"/>
      <c r="T65" s="750"/>
      <c r="V65" s="95"/>
      <c r="Y65" s="96"/>
    </row>
    <row r="66" spans="2:25" s="92" customFormat="1" ht="15" customHeight="1" x14ac:dyDescent="0.15">
      <c r="B66" s="487" t="s">
        <v>107</v>
      </c>
      <c r="C66" s="33"/>
      <c r="D66" s="28" t="s">
        <v>470</v>
      </c>
      <c r="E66" s="28"/>
      <c r="F66" s="302">
        <v>604</v>
      </c>
      <c r="G66" s="295">
        <f t="shared" si="6"/>
        <v>0</v>
      </c>
      <c r="H66" s="303">
        <v>0.33</v>
      </c>
      <c r="I66" s="234">
        <f t="shared" si="7"/>
        <v>0</v>
      </c>
      <c r="J66" s="295">
        <f>I66*VLOOKUP($B$9,'Base Costs'!$A$32:$B$37,2,FALSE)</f>
        <v>0</v>
      </c>
      <c r="K66" s="296">
        <f t="shared" si="8"/>
        <v>0</v>
      </c>
      <c r="M66" s="219"/>
      <c r="N66" s="219"/>
      <c r="O66" s="219"/>
      <c r="P66" s="219"/>
      <c r="R66" s="750"/>
      <c r="S66" s="750"/>
      <c r="T66" s="750"/>
      <c r="V66" s="95"/>
      <c r="Y66" s="96"/>
    </row>
    <row r="67" spans="2:25" ht="15" customHeight="1" x14ac:dyDescent="0.2">
      <c r="D67" s="115"/>
      <c r="R67" s="748"/>
      <c r="S67" s="748"/>
      <c r="T67" s="749"/>
    </row>
    <row r="68" spans="2:25" ht="15" customHeight="1" x14ac:dyDescent="0.2">
      <c r="B68" s="139" t="s">
        <v>46</v>
      </c>
      <c r="C68" s="140"/>
      <c r="D68" s="141"/>
      <c r="E68" s="141"/>
      <c r="F68" s="140"/>
      <c r="G68" s="142"/>
      <c r="H68" s="140"/>
      <c r="I68" s="140"/>
      <c r="J68" s="140"/>
      <c r="K68" s="140"/>
    </row>
    <row r="69" spans="2:25" ht="15" customHeight="1" x14ac:dyDescent="0.2">
      <c r="B69" s="412" t="s">
        <v>510</v>
      </c>
      <c r="C69" s="413">
        <f>M12</f>
        <v>0</v>
      </c>
      <c r="D69" s="143"/>
      <c r="E69" s="145"/>
      <c r="F69" s="149"/>
      <c r="G69" s="149"/>
      <c r="H69" s="144"/>
      <c r="I69" s="144"/>
      <c r="J69" s="144"/>
      <c r="K69" s="146"/>
    </row>
    <row r="70" spans="2:25" ht="15" customHeight="1" x14ac:dyDescent="0.2">
      <c r="B70" s="412" t="s">
        <v>511</v>
      </c>
      <c r="C70" s="413">
        <f>N12</f>
        <v>0</v>
      </c>
      <c r="D70" s="143"/>
      <c r="E70" s="145"/>
      <c r="F70" s="149"/>
      <c r="G70" s="149"/>
      <c r="H70" s="144"/>
      <c r="I70" s="144"/>
      <c r="J70" s="144"/>
      <c r="K70" s="146"/>
    </row>
    <row r="71" spans="2:25" ht="15" customHeight="1" x14ac:dyDescent="0.2">
      <c r="B71" s="412" t="s">
        <v>475</v>
      </c>
      <c r="C71" s="413">
        <f>O12</f>
        <v>0</v>
      </c>
      <c r="D71" s="143"/>
      <c r="E71" s="145"/>
      <c r="F71" s="149"/>
      <c r="G71" s="149"/>
      <c r="H71" s="144"/>
      <c r="I71" s="144"/>
      <c r="J71" s="144"/>
      <c r="K71" s="149"/>
    </row>
    <row r="72" spans="2:25" ht="15" customHeight="1" x14ac:dyDescent="0.2">
      <c r="B72" s="412" t="s">
        <v>476</v>
      </c>
      <c r="C72" s="413">
        <f>SUM(J57:J65)+P12</f>
        <v>0</v>
      </c>
      <c r="D72" s="143"/>
      <c r="E72" s="145"/>
      <c r="F72" s="149"/>
      <c r="G72" s="149"/>
      <c r="H72" s="147"/>
      <c r="I72" s="144"/>
      <c r="J72" s="144"/>
      <c r="K72" s="149"/>
    </row>
    <row r="73" spans="2:25" ht="15" customHeight="1" x14ac:dyDescent="0.2">
      <c r="B73" s="412" t="s">
        <v>107</v>
      </c>
      <c r="C73" s="413">
        <f>J66</f>
        <v>0</v>
      </c>
      <c r="D73" s="143"/>
      <c r="E73" s="143"/>
      <c r="F73" s="149"/>
      <c r="G73" s="148"/>
      <c r="H73" s="149"/>
      <c r="I73" s="144"/>
      <c r="J73" s="144"/>
      <c r="K73" s="146"/>
    </row>
    <row r="74" spans="2:25" ht="15" customHeight="1" x14ac:dyDescent="0.2">
      <c r="B74" s="143"/>
      <c r="C74" s="143"/>
      <c r="D74" s="143"/>
      <c r="E74" s="143"/>
      <c r="F74" s="149"/>
      <c r="G74" s="148"/>
      <c r="H74" s="149"/>
      <c r="I74" s="144"/>
      <c r="J74" s="144"/>
      <c r="K74" s="146"/>
    </row>
    <row r="75" spans="2:25" ht="15" customHeight="1" x14ac:dyDescent="0.2">
      <c r="D75" s="115"/>
    </row>
    <row r="76" spans="2:25" ht="15" customHeight="1" x14ac:dyDescent="0.2">
      <c r="D76" s="115"/>
    </row>
    <row r="77" spans="2:25" ht="15" customHeight="1" x14ac:dyDescent="0.2">
      <c r="D77" s="115"/>
    </row>
    <row r="78" spans="2:25" ht="15" customHeight="1" x14ac:dyDescent="0.2">
      <c r="D78" s="115"/>
    </row>
    <row r="79" spans="2:25" ht="15" customHeight="1" x14ac:dyDescent="0.2">
      <c r="D79" s="115"/>
    </row>
    <row r="80" spans="2:25" ht="15" customHeight="1" x14ac:dyDescent="0.2">
      <c r="D80" s="115"/>
    </row>
    <row r="81" spans="2:4" ht="15" customHeight="1" x14ac:dyDescent="0.2">
      <c r="D81" s="115"/>
    </row>
    <row r="82" spans="2:4" ht="15" customHeight="1" x14ac:dyDescent="0.2">
      <c r="B82" s="112"/>
      <c r="C82" s="117"/>
      <c r="D82" s="112"/>
    </row>
  </sheetData>
  <mergeCells count="11">
    <mergeCell ref="D47:E47"/>
    <mergeCell ref="B56:E56"/>
    <mergeCell ref="C7:D7"/>
    <mergeCell ref="C1:J1"/>
    <mergeCell ref="R10:T10"/>
    <mergeCell ref="F5:G5"/>
    <mergeCell ref="C5:D5"/>
    <mergeCell ref="M7:O7"/>
    <mergeCell ref="C3:D3"/>
    <mergeCell ref="F7:G7"/>
    <mergeCell ref="F3:G3"/>
  </mergeCells>
  <conditionalFormatting sqref="B9">
    <cfRule type="expression" dxfId="294" priority="100">
      <formula>B9="CURRENCY"</formula>
    </cfRule>
    <cfRule type="containsText" dxfId="293" priority="99" operator="containsText" text="SELECT">
      <formula>NOT(ISERROR(SEARCH("SELECT",B9)))</formula>
    </cfRule>
  </conditionalFormatting>
  <conditionalFormatting sqref="B13:B24">
    <cfRule type="expression" dxfId="292" priority="6">
      <formula>$C13&gt;0</formula>
    </cfRule>
  </conditionalFormatting>
  <conditionalFormatting sqref="B25:B39">
    <cfRule type="expression" dxfId="291" priority="5">
      <formula>$C25&gt;0</formula>
    </cfRule>
  </conditionalFormatting>
  <conditionalFormatting sqref="B40:B54">
    <cfRule type="expression" dxfId="290" priority="3">
      <formula>$C40&gt;0</formula>
    </cfRule>
  </conditionalFormatting>
  <conditionalFormatting sqref="B57:B66">
    <cfRule type="expression" dxfId="289" priority="1">
      <formula>$C57&gt;0</formula>
    </cfRule>
  </conditionalFormatting>
  <conditionalFormatting sqref="C13:C54">
    <cfRule type="cellIs" dxfId="288" priority="20" operator="lessThan">
      <formula>1</formula>
    </cfRule>
  </conditionalFormatting>
  <conditionalFormatting sqref="C57:C66">
    <cfRule type="cellIs" dxfId="287" priority="103" operator="equal">
      <formula>0</formula>
    </cfRule>
  </conditionalFormatting>
  <conditionalFormatting sqref="C9:D9">
    <cfRule type="cellIs" dxfId="286" priority="66" operator="greaterThan">
      <formula>0</formula>
    </cfRule>
    <cfRule type="cellIs" dxfId="285" priority="65" operator="lessThan">
      <formula>0</formula>
    </cfRule>
  </conditionalFormatting>
  <conditionalFormatting sqref="F13:F54">
    <cfRule type="expression" dxfId="284" priority="19">
      <formula>C13&gt;0</formula>
    </cfRule>
  </conditionalFormatting>
  <conditionalFormatting sqref="F57:F66">
    <cfRule type="expression" dxfId="283" priority="63">
      <formula>C57&gt;0</formula>
    </cfRule>
  </conditionalFormatting>
  <conditionalFormatting sqref="F58:F66">
    <cfRule type="expression" dxfId="282" priority="101">
      <formula>C58&lt;1</formula>
    </cfRule>
  </conditionalFormatting>
  <conditionalFormatting sqref="G13:G54">
    <cfRule type="cellIs" dxfId="281" priority="18" operator="greaterThan">
      <formula>0</formula>
    </cfRule>
  </conditionalFormatting>
  <conditionalFormatting sqref="G57:G66">
    <cfRule type="cellIs" dxfId="280" priority="61" operator="greaterThan">
      <formula>0</formula>
    </cfRule>
  </conditionalFormatting>
  <conditionalFormatting sqref="H13:H54">
    <cfRule type="expression" dxfId="279" priority="25">
      <formula>$C$9&gt;0</formula>
    </cfRule>
    <cfRule type="expression" dxfId="278" priority="26">
      <formula>$C$9&lt;0</formula>
    </cfRule>
  </conditionalFormatting>
  <conditionalFormatting sqref="H57:H66">
    <cfRule type="expression" dxfId="277" priority="313">
      <formula>$C$9&gt;0</formula>
    </cfRule>
    <cfRule type="expression" dxfId="276" priority="314">
      <formula>$C$9&lt;0</formula>
    </cfRule>
  </conditionalFormatting>
  <conditionalFormatting sqref="J2:J6 J75:J1048576">
    <cfRule type="expression" dxfId="275" priority="303">
      <formula>$B$9="EURO"</formula>
    </cfRule>
  </conditionalFormatting>
  <conditionalFormatting sqref="J8:J67">
    <cfRule type="expression" dxfId="274" priority="21">
      <formula>$B$9="EURO"</formula>
    </cfRule>
  </conditionalFormatting>
  <conditionalFormatting sqref="J9 J56:J66">
    <cfRule type="expression" dxfId="273" priority="310">
      <formula>$B$9="USD"</formula>
    </cfRule>
    <cfRule type="expression" dxfId="272" priority="311">
      <formula>$B$9="PLN"</formula>
    </cfRule>
    <cfRule type="expression" dxfId="271" priority="312">
      <formula>$B$9="CZK"</formula>
    </cfRule>
  </conditionalFormatting>
  <conditionalFormatting sqref="J12:J54">
    <cfRule type="expression" dxfId="270" priority="24">
      <formula>$B$9="CZK"</formula>
    </cfRule>
    <cfRule type="expression" dxfId="269" priority="23">
      <formula>$B$9="PLN"</formula>
    </cfRule>
    <cfRule type="expression" dxfId="268" priority="22">
      <formula>$B$9="USD"</formula>
    </cfRule>
  </conditionalFormatting>
  <conditionalFormatting sqref="J68:J74">
    <cfRule type="expression" dxfId="267" priority="93">
      <formula>$F$10="EURO"</formula>
    </cfRule>
  </conditionalFormatting>
  <conditionalFormatting sqref="J13:K54">
    <cfRule type="cellIs" dxfId="266" priority="17" operator="greaterThan">
      <formula>0</formula>
    </cfRule>
  </conditionalFormatting>
  <conditionalFormatting sqref="J57:K66">
    <cfRule type="cellIs" dxfId="265" priority="60" operator="greaterThan">
      <formula>0</formula>
    </cfRule>
  </conditionalFormatting>
  <conditionalFormatting sqref="M12:P54">
    <cfRule type="expression" dxfId="264" priority="11">
      <formula>$B$9="CZK"</formula>
    </cfRule>
    <cfRule type="expression" dxfId="263" priority="10">
      <formula>$B$9="PLN"</formula>
    </cfRule>
    <cfRule type="expression" dxfId="262" priority="9">
      <formula>$B$9="USD"</formula>
    </cfRule>
    <cfRule type="expression" dxfId="261" priority="8">
      <formula>$B$9="EURO"</formula>
    </cfRule>
  </conditionalFormatting>
  <conditionalFormatting sqref="M13:P54">
    <cfRule type="cellIs" dxfId="260" priority="7" operator="greaterThan">
      <formula>0</formula>
    </cfRule>
  </conditionalFormatting>
  <dataValidations count="3">
    <dataValidation type="list" allowBlank="1" showInputMessage="1" showErrorMessage="1" sqref="D13" xr:uid="{00000000-0002-0000-A200-000000000000}">
      <formula1>FanSize</formula1>
    </dataValidation>
    <dataValidation type="list" allowBlank="1" showInputMessage="1" showErrorMessage="1" sqref="D55" xr:uid="{00000000-0002-0000-A200-000001000000}">
      <formula1>$B$3:$B$15</formula1>
    </dataValidation>
    <dataValidation type="list" allowBlank="1" showInputMessage="1" showErrorMessage="1" sqref="D26" xr:uid="{00000000-0002-0000-A200-000002000000}">
      <formula1>$H$17:$H$21</formula1>
    </dataValidation>
  </dataValidations>
  <printOptions horizontalCentered="1"/>
  <pageMargins left="0.23622047244094491" right="0.35433070866141742" top="0.39370078740157483" bottom="0.39370078740157483" header="0.31496062992125978" footer="0.11811023622047249"/>
  <pageSetup paperSize="9" scale="62" orientation="portrait"/>
  <headerFooter alignWithMargins="0">
    <oddFooter>&amp;L&amp;Z&amp;F</oddFooter>
  </headerFooter>
  <drawing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sheetPr codeName="Sheet5">
    <tabColor theme="8" tint="0.79998168889431442"/>
    <pageSetUpPr fitToPage="1"/>
  </sheetPr>
  <dimension ref="B1:AA86"/>
  <sheetViews>
    <sheetView zoomScale="80" zoomScaleNormal="80" workbookViewId="0">
      <selection activeCell="G187" sqref="G187"/>
    </sheetView>
  </sheetViews>
  <sheetFormatPr baseColWidth="10" defaultColWidth="9.1640625" defaultRowHeight="15" x14ac:dyDescent="0.2"/>
  <cols>
    <col min="1" max="1" width="2.1640625" style="18" customWidth="1"/>
    <col min="2" max="2" width="28.83203125" style="18" customWidth="1"/>
    <col min="3" max="3" width="10.1640625" style="220" customWidth="1"/>
    <col min="4" max="4" width="82.33203125" style="18" customWidth="1"/>
    <col min="5" max="5" width="12.6640625" style="18" customWidth="1"/>
    <col min="6" max="6" width="13.1640625" style="213" customWidth="1"/>
    <col min="7" max="7" width="13.33203125" style="210" customWidth="1"/>
    <col min="8" max="8" width="8.5" style="21" customWidth="1"/>
    <col min="9" max="9" width="11.5" style="210" hidden="1" customWidth="1"/>
    <col min="10" max="10" width="14.1640625" style="210" customWidth="1"/>
    <col min="11" max="11" width="14.5" style="210" customWidth="1"/>
    <col min="12" max="12" width="16.33203125" style="18" customWidth="1"/>
    <col min="13" max="13" width="9.1640625" style="18" customWidth="1"/>
    <col min="14" max="16384" width="9.1640625" style="18"/>
  </cols>
  <sheetData>
    <row r="1" spans="2:27" s="92" customFormat="1" ht="19" customHeight="1" x14ac:dyDescent="0.15">
      <c r="B1" s="988" t="s">
        <v>512</v>
      </c>
      <c r="C1" s="979"/>
      <c r="D1" s="979"/>
      <c r="E1" s="125"/>
      <c r="F1" s="125"/>
      <c r="G1" s="275"/>
      <c r="H1" s="191"/>
      <c r="I1" s="275"/>
      <c r="J1" s="275"/>
      <c r="K1" s="853" t="s">
        <v>48</v>
      </c>
      <c r="P1" s="93"/>
      <c r="Q1" s="94"/>
      <c r="X1" s="95"/>
      <c r="AA1" s="96"/>
    </row>
    <row r="2" spans="2:27" s="92" customFormat="1" x14ac:dyDescent="0.15">
      <c r="C2" s="218"/>
      <c r="D2" s="192"/>
      <c r="E2" s="192"/>
      <c r="F2" s="193"/>
      <c r="G2" s="287"/>
      <c r="H2" s="122"/>
      <c r="I2" s="193"/>
      <c r="J2" s="193"/>
      <c r="K2" s="122"/>
      <c r="P2" s="100"/>
      <c r="U2" s="101"/>
      <c r="W2" s="95"/>
      <c r="Z2" s="96"/>
    </row>
    <row r="3" spans="2:27" s="92" customFormat="1" ht="16" customHeight="1" x14ac:dyDescent="0.15">
      <c r="B3" s="194" t="s">
        <v>2</v>
      </c>
      <c r="C3" s="986" t="e">
        <f>IF([17]CANOPY!C3="","",[17]CANOPY!C3)</f>
        <v>#REF!</v>
      </c>
      <c r="D3" s="979"/>
      <c r="E3" s="122" t="s">
        <v>4</v>
      </c>
      <c r="F3" s="987" t="e">
        <f>IF([17]CANOPY!G3="","",[17]CANOPY!G3)</f>
        <v>#REF!</v>
      </c>
      <c r="G3" s="979"/>
      <c r="H3" s="979"/>
      <c r="I3" s="193"/>
      <c r="J3" s="193"/>
      <c r="K3" s="122"/>
      <c r="P3" s="100"/>
      <c r="W3" s="95"/>
      <c r="Z3" s="96"/>
    </row>
    <row r="4" spans="2:27" s="92" customFormat="1" x14ac:dyDescent="0.15">
      <c r="C4" s="219"/>
      <c r="D4" s="195"/>
      <c r="E4" s="195"/>
      <c r="F4" s="193"/>
      <c r="G4" s="278"/>
      <c r="H4" s="278"/>
      <c r="I4" s="193"/>
      <c r="J4" s="193"/>
      <c r="K4" s="122"/>
      <c r="P4" s="100"/>
      <c r="W4" s="95"/>
      <c r="Z4" s="96"/>
    </row>
    <row r="5" spans="2:27" s="92" customFormat="1" ht="16" customHeight="1" x14ac:dyDescent="0.15">
      <c r="B5" s="194" t="s">
        <v>6</v>
      </c>
      <c r="C5" s="986" t="e">
        <f>IF([17]CANOPY!C5="","",[17]CANOPY!C5)</f>
        <v>#REF!</v>
      </c>
      <c r="D5" s="979"/>
      <c r="E5" s="122" t="s">
        <v>8</v>
      </c>
      <c r="F5" s="987" t="e">
        <f>IF([17]CANOPY!G5="","",[17]CANOPY!G5)</f>
        <v>#REF!</v>
      </c>
      <c r="G5" s="979"/>
      <c r="H5" s="979"/>
      <c r="I5" s="193"/>
      <c r="J5" s="193"/>
      <c r="K5" s="122"/>
      <c r="M5" s="105"/>
      <c r="N5" s="105"/>
      <c r="P5" s="100"/>
      <c r="Q5" s="101"/>
      <c r="W5" s="95"/>
      <c r="Z5" s="96"/>
    </row>
    <row r="6" spans="2:27" s="92" customFormat="1" x14ac:dyDescent="0.15">
      <c r="B6" s="194"/>
      <c r="C6" s="196"/>
      <c r="D6" s="195"/>
      <c r="E6" s="195"/>
      <c r="F6" s="122"/>
      <c r="G6" s="278"/>
      <c r="H6" s="384"/>
      <c r="I6" s="193"/>
      <c r="J6" s="193"/>
      <c r="K6" s="122"/>
      <c r="M6" s="105"/>
      <c r="N6" s="105"/>
      <c r="P6" s="100"/>
      <c r="Q6" s="101"/>
      <c r="W6" s="106"/>
      <c r="Z6" s="96"/>
    </row>
    <row r="7" spans="2:27" s="92" customFormat="1" ht="15" customHeight="1" x14ac:dyDescent="0.15">
      <c r="B7" s="75" t="s">
        <v>10</v>
      </c>
      <c r="C7" s="986" t="e">
        <f>IF([17]CANOPY!C7="","",[17]CANOPY!C7)</f>
        <v>#REF!</v>
      </c>
      <c r="D7" s="979"/>
      <c r="E7" s="122" t="s">
        <v>12</v>
      </c>
      <c r="F7" s="989" t="e">
        <f>IF([17]CANOPY!G7="","",[17]CANOPY!G7)</f>
        <v>#REF!</v>
      </c>
      <c r="G7" s="979"/>
      <c r="H7" s="979"/>
      <c r="J7" s="197" t="s">
        <v>14</v>
      </c>
      <c r="K7" s="484" t="e">
        <f>IF([17]CANOPY!O7="","",[17]CANOPY!O7)</f>
        <v>#REF!</v>
      </c>
      <c r="L7" s="964" t="s">
        <v>51</v>
      </c>
      <c r="M7" s="979"/>
      <c r="N7" s="979"/>
      <c r="P7" s="100"/>
      <c r="Q7" s="101"/>
      <c r="W7" s="106"/>
      <c r="Z7" s="96"/>
    </row>
    <row r="8" spans="2:27" s="92" customFormat="1" ht="15" customHeight="1" x14ac:dyDescent="0.15">
      <c r="B8" s="93"/>
      <c r="C8" s="219"/>
      <c r="D8" s="219"/>
      <c r="E8" s="219"/>
      <c r="F8" s="122"/>
      <c r="G8" s="227"/>
      <c r="H8" s="227"/>
      <c r="I8" s="197"/>
      <c r="J8" s="197"/>
      <c r="K8" s="197"/>
      <c r="L8" s="107"/>
      <c r="N8" s="99"/>
      <c r="P8" s="100"/>
      <c r="Q8" s="101"/>
      <c r="W8" s="106"/>
      <c r="Z8" s="96"/>
    </row>
    <row r="9" spans="2:27" s="92" customFormat="1" x14ac:dyDescent="0.15">
      <c r="C9" s="219"/>
      <c r="D9" s="195"/>
      <c r="E9" s="195"/>
      <c r="F9" s="198"/>
      <c r="G9" s="193"/>
      <c r="H9" s="122"/>
      <c r="I9" s="193"/>
      <c r="J9" s="193"/>
      <c r="K9" s="122"/>
      <c r="P9" s="100"/>
      <c r="W9" s="106"/>
      <c r="Z9" s="96"/>
    </row>
    <row r="10" spans="2:27" x14ac:dyDescent="0.2">
      <c r="B10" s="38" t="s">
        <v>15</v>
      </c>
      <c r="C10" s="829"/>
      <c r="D10" s="294">
        <f>IF(C10=0,0,(SUBTOTAL(9,I13:I155)/(1-C10))-I10)</f>
        <v>0</v>
      </c>
      <c r="G10" s="25">
        <f>SUBTOTAL(9,G14:G55)</f>
        <v>615</v>
      </c>
      <c r="H10" s="845">
        <f>IF(K10=0,"-",K10/I10)</f>
        <v>0.400348229831689</v>
      </c>
      <c r="I10" s="25">
        <f>SUBTOTAL(9,I14:I55)</f>
        <v>1025.5952380952381</v>
      </c>
      <c r="J10" s="382">
        <f>SUBTOTAL(9,J14:J55)</f>
        <v>1025.5952380952381</v>
      </c>
      <c r="K10" s="25">
        <f>SUBTOTAL(9,K14:K55)</f>
        <v>410.59523809523819</v>
      </c>
    </row>
    <row r="11" spans="2:27" ht="16" customHeight="1" x14ac:dyDescent="0.2">
      <c r="B11" s="2" t="s">
        <v>15</v>
      </c>
      <c r="C11" s="2" t="s">
        <v>16</v>
      </c>
      <c r="D11" s="2" t="s">
        <v>17</v>
      </c>
      <c r="E11" s="2" t="s">
        <v>513</v>
      </c>
      <c r="F11" s="1" t="s">
        <v>52</v>
      </c>
      <c r="G11" s="1" t="s">
        <v>18</v>
      </c>
      <c r="H11" s="3" t="s">
        <v>19</v>
      </c>
      <c r="I11" s="4" t="s">
        <v>21</v>
      </c>
      <c r="J11" s="4" t="s">
        <v>21</v>
      </c>
      <c r="K11" s="4" t="s">
        <v>22</v>
      </c>
    </row>
    <row r="12" spans="2:27" x14ac:dyDescent="0.2">
      <c r="B12" s="196"/>
      <c r="C12" s="196"/>
      <c r="E12" s="36"/>
      <c r="F12" s="226"/>
      <c r="G12" s="89"/>
      <c r="H12" s="228"/>
      <c r="I12" s="89"/>
      <c r="J12" s="89"/>
      <c r="K12" s="89"/>
    </row>
    <row r="13" spans="2:27" ht="16" customHeight="1" x14ac:dyDescent="0.2">
      <c r="B13" s="230" t="s">
        <v>514</v>
      </c>
      <c r="C13" s="172" t="s">
        <v>478</v>
      </c>
      <c r="D13" s="293" t="s">
        <v>515</v>
      </c>
      <c r="E13" s="229"/>
      <c r="F13" s="38"/>
      <c r="G13" s="58">
        <f>SUBTOTAL(9,G14:G41)</f>
        <v>615</v>
      </c>
      <c r="H13" s="121">
        <f>IF(G13=0,"-",K13/I13)</f>
        <v>0.400348229831689</v>
      </c>
      <c r="I13" s="58">
        <f>SUBTOTAL(9,I14:I41)</f>
        <v>1025.5952380952381</v>
      </c>
      <c r="J13" s="382">
        <f>SUBTOTAL(9,J14:J41)</f>
        <v>1025.5952380952381</v>
      </c>
      <c r="K13" s="58">
        <f>SUBTOTAL(9,K14:K41)</f>
        <v>410.59523809523819</v>
      </c>
      <c r="N13" s="238"/>
    </row>
    <row r="14" spans="2:27" ht="16" customHeight="1" x14ac:dyDescent="0.2">
      <c r="B14" s="204" t="s">
        <v>516</v>
      </c>
      <c r="C14" s="186"/>
      <c r="D14" s="204" t="s">
        <v>517</v>
      </c>
      <c r="E14" s="204"/>
      <c r="F14" s="297">
        <f>'Base Costs'!AM5</f>
        <v>19.027000000000001</v>
      </c>
      <c r="G14" s="295">
        <f>C14*F14</f>
        <v>0</v>
      </c>
      <c r="H14" s="299">
        <v>0.44</v>
      </c>
      <c r="I14" s="231">
        <f t="shared" ref="I14:I41" si="0">G14/(1-H14)*(1+$C$10)</f>
        <v>0</v>
      </c>
      <c r="J14" s="300">
        <f>I14*VLOOKUP($B$10,'Base Costs'!$A$32:$B$37,2,FALSE)</f>
        <v>0</v>
      </c>
      <c r="K14" s="301">
        <f>I14-G14</f>
        <v>0</v>
      </c>
    </row>
    <row r="15" spans="2:27" ht="16" customHeight="1" x14ac:dyDescent="0.2">
      <c r="B15" s="204" t="s">
        <v>518</v>
      </c>
      <c r="C15" s="186"/>
      <c r="D15" s="204" t="s">
        <v>519</v>
      </c>
      <c r="E15" s="204"/>
      <c r="F15" s="297">
        <f>'Base Costs'!AM6</f>
        <v>33.994199999999999</v>
      </c>
      <c r="G15" s="295">
        <f>C15*F15</f>
        <v>0</v>
      </c>
      <c r="H15" s="299">
        <v>0.44</v>
      </c>
      <c r="I15" s="231">
        <f t="shared" si="0"/>
        <v>0</v>
      </c>
      <c r="J15" s="300">
        <f>I15*VLOOKUP($B$10,'Base Costs'!$A$32:$B$37,2,FALSE)</f>
        <v>0</v>
      </c>
      <c r="K15" s="301">
        <f>I15-G15</f>
        <v>0</v>
      </c>
    </row>
    <row r="16" spans="2:27" ht="16" customHeight="1" x14ac:dyDescent="0.2">
      <c r="B16" s="204" t="s">
        <v>520</v>
      </c>
      <c r="C16" s="186"/>
      <c r="D16" s="204" t="s">
        <v>521</v>
      </c>
      <c r="E16" s="204"/>
      <c r="F16" s="297">
        <f>'Base Costs'!AM7</f>
        <v>8.9782000000000011</v>
      </c>
      <c r="G16" s="295">
        <f>C16*F16</f>
        <v>0</v>
      </c>
      <c r="H16" s="299">
        <v>0.44</v>
      </c>
      <c r="I16" s="231">
        <f t="shared" si="0"/>
        <v>0</v>
      </c>
      <c r="J16" s="300">
        <f>I16*VLOOKUP($B$10,'Base Costs'!$A$32:$B$37,2,FALSE)</f>
        <v>0</v>
      </c>
      <c r="K16" s="301">
        <f>I16-G16</f>
        <v>0</v>
      </c>
    </row>
    <row r="17" spans="2:11" ht="16" customHeight="1" x14ac:dyDescent="0.2">
      <c r="B17" s="204"/>
      <c r="C17" s="186"/>
      <c r="D17" s="204"/>
      <c r="E17" s="204"/>
      <c r="F17" s="297"/>
      <c r="G17" s="295"/>
      <c r="H17" s="299">
        <v>0.44</v>
      </c>
      <c r="I17" s="231">
        <f t="shared" si="0"/>
        <v>0</v>
      </c>
      <c r="J17" s="300">
        <f>I17*VLOOKUP($B$10,'Base Costs'!$A$32:$B$37,2,FALSE)</f>
        <v>0</v>
      </c>
      <c r="K17" s="301"/>
    </row>
    <row r="18" spans="2:11" ht="18" customHeight="1" x14ac:dyDescent="0.2">
      <c r="B18" s="204" t="s">
        <v>522</v>
      </c>
      <c r="C18" s="186"/>
      <c r="D18" s="205" t="s">
        <v>523</v>
      </c>
      <c r="E18" s="204"/>
      <c r="F18" s="297">
        <v>83.85</v>
      </c>
      <c r="G18" s="295">
        <f t="shared" ref="G18:G41" si="1">C18*F18</f>
        <v>0</v>
      </c>
      <c r="H18" s="299">
        <v>0.44</v>
      </c>
      <c r="I18" s="231">
        <f t="shared" si="0"/>
        <v>0</v>
      </c>
      <c r="J18" s="300">
        <f>I18*VLOOKUP($B$10,'Base Costs'!$A$32:$B$37,2,FALSE)</f>
        <v>0</v>
      </c>
      <c r="K18" s="296">
        <f t="shared" ref="K18:K41" si="2">I18-G18</f>
        <v>0</v>
      </c>
    </row>
    <row r="19" spans="2:11" ht="16" customHeight="1" x14ac:dyDescent="0.2">
      <c r="B19" s="204" t="s">
        <v>524</v>
      </c>
      <c r="C19" s="186"/>
      <c r="D19" s="204" t="s">
        <v>525</v>
      </c>
      <c r="E19" s="204"/>
      <c r="F19" s="297">
        <f>'Base Costs'!AM8</f>
        <v>162.57220000000001</v>
      </c>
      <c r="G19" s="295">
        <f t="shared" si="1"/>
        <v>0</v>
      </c>
      <c r="H19" s="299">
        <v>0.44</v>
      </c>
      <c r="I19" s="231">
        <f t="shared" si="0"/>
        <v>0</v>
      </c>
      <c r="J19" s="300">
        <f>I19*VLOOKUP($B$10,'Base Costs'!$A$32:$B$37,2,FALSE)</f>
        <v>0</v>
      </c>
      <c r="K19" s="301">
        <f t="shared" si="2"/>
        <v>0</v>
      </c>
    </row>
    <row r="20" spans="2:11" ht="16" customHeight="1" x14ac:dyDescent="0.2">
      <c r="B20" s="204" t="s">
        <v>526</v>
      </c>
      <c r="C20" s="186"/>
      <c r="D20" s="204" t="s">
        <v>527</v>
      </c>
      <c r="E20" s="204"/>
      <c r="F20" s="297">
        <f>'Base Costs'!AM9</f>
        <v>0</v>
      </c>
      <c r="G20" s="295">
        <f t="shared" si="1"/>
        <v>0</v>
      </c>
      <c r="H20" s="299">
        <v>0.44</v>
      </c>
      <c r="I20" s="231">
        <f t="shared" si="0"/>
        <v>0</v>
      </c>
      <c r="J20" s="300">
        <f>I20*VLOOKUP($B$10,'Base Costs'!$A$32:$B$37,2,FALSE)</f>
        <v>0</v>
      </c>
      <c r="K20" s="301">
        <f t="shared" si="2"/>
        <v>0</v>
      </c>
    </row>
    <row r="21" spans="2:11" ht="16" customHeight="1" x14ac:dyDescent="0.2">
      <c r="B21" s="204" t="s">
        <v>528</v>
      </c>
      <c r="C21" s="186"/>
      <c r="D21" s="204" t="s">
        <v>529</v>
      </c>
      <c r="E21" s="204"/>
      <c r="F21" s="297">
        <f>'Base Costs'!AM10</f>
        <v>45.283200000000001</v>
      </c>
      <c r="G21" s="295">
        <f t="shared" si="1"/>
        <v>0</v>
      </c>
      <c r="H21" s="299">
        <v>0.44</v>
      </c>
      <c r="I21" s="231">
        <f t="shared" si="0"/>
        <v>0</v>
      </c>
      <c r="J21" s="300">
        <f>I21*VLOOKUP($B$10,'Base Costs'!$A$32:$B$37,2,FALSE)</f>
        <v>0</v>
      </c>
      <c r="K21" s="301">
        <f t="shared" si="2"/>
        <v>0</v>
      </c>
    </row>
    <row r="22" spans="2:11" ht="16" customHeight="1" x14ac:dyDescent="0.2">
      <c r="B22" s="204" t="s">
        <v>530</v>
      </c>
      <c r="C22" s="186"/>
      <c r="D22" s="204" t="s">
        <v>531</v>
      </c>
      <c r="E22" s="204"/>
      <c r="F22" s="297">
        <f>'Base Costs'!AM11</f>
        <v>44.710799999999999</v>
      </c>
      <c r="G22" s="295">
        <f t="shared" si="1"/>
        <v>0</v>
      </c>
      <c r="H22" s="299">
        <v>0.44</v>
      </c>
      <c r="I22" s="231">
        <f t="shared" si="0"/>
        <v>0</v>
      </c>
      <c r="J22" s="300">
        <f>I22*VLOOKUP($B$10,'Base Costs'!$A$32:$B$37,2,FALSE)</f>
        <v>0</v>
      </c>
      <c r="K22" s="301">
        <f t="shared" si="2"/>
        <v>0</v>
      </c>
    </row>
    <row r="23" spans="2:11" ht="16" customHeight="1" x14ac:dyDescent="0.2">
      <c r="B23" s="204" t="s">
        <v>532</v>
      </c>
      <c r="C23" s="186"/>
      <c r="D23" s="204" t="s">
        <v>533</v>
      </c>
      <c r="E23" s="204"/>
      <c r="F23" s="297">
        <f>'Base Costs'!AM12</f>
        <v>17.744399999999999</v>
      </c>
      <c r="G23" s="295">
        <f t="shared" si="1"/>
        <v>0</v>
      </c>
      <c r="H23" s="299">
        <v>0.44</v>
      </c>
      <c r="I23" s="231">
        <f t="shared" si="0"/>
        <v>0</v>
      </c>
      <c r="J23" s="300">
        <f>I23*VLOOKUP($B$10,'Base Costs'!$A$32:$B$37,2,FALSE)</f>
        <v>0</v>
      </c>
      <c r="K23" s="301">
        <f t="shared" si="2"/>
        <v>0</v>
      </c>
    </row>
    <row r="24" spans="2:11" ht="16" customHeight="1" x14ac:dyDescent="0.2">
      <c r="B24" s="204" t="s">
        <v>534</v>
      </c>
      <c r="C24" s="186"/>
      <c r="D24" s="204" t="s">
        <v>535</v>
      </c>
      <c r="E24" s="204"/>
      <c r="F24" s="297">
        <f>'Base Costs'!AM13</f>
        <v>198.22</v>
      </c>
      <c r="G24" s="295">
        <f t="shared" si="1"/>
        <v>0</v>
      </c>
      <c r="H24" s="299">
        <v>0.44</v>
      </c>
      <c r="I24" s="231">
        <f t="shared" si="0"/>
        <v>0</v>
      </c>
      <c r="J24" s="300">
        <f>I24*VLOOKUP($B$10,'Base Costs'!$A$32:$B$37,2,FALSE)</f>
        <v>0</v>
      </c>
      <c r="K24" s="301">
        <f t="shared" si="2"/>
        <v>0</v>
      </c>
    </row>
    <row r="25" spans="2:11" ht="16" customHeight="1" x14ac:dyDescent="0.2">
      <c r="B25" s="204" t="s">
        <v>536</v>
      </c>
      <c r="C25" s="186"/>
      <c r="D25" s="204" t="s">
        <v>537</v>
      </c>
      <c r="E25" s="204"/>
      <c r="F25" s="297">
        <f>'Base Costs'!AM14</f>
        <v>267.12</v>
      </c>
      <c r="G25" s="295">
        <f t="shared" si="1"/>
        <v>0</v>
      </c>
      <c r="H25" s="299">
        <v>0.44</v>
      </c>
      <c r="I25" s="231">
        <f t="shared" si="0"/>
        <v>0</v>
      </c>
      <c r="J25" s="300">
        <f>I25*VLOOKUP($B$10,'Base Costs'!$A$32:$B$37,2,FALSE)</f>
        <v>0</v>
      </c>
      <c r="K25" s="301">
        <f t="shared" si="2"/>
        <v>0</v>
      </c>
    </row>
    <row r="26" spans="2:11" ht="16" customHeight="1" x14ac:dyDescent="0.2">
      <c r="B26" s="204" t="s">
        <v>538</v>
      </c>
      <c r="C26" s="186"/>
      <c r="D26" s="204" t="s">
        <v>539</v>
      </c>
      <c r="E26" s="204"/>
      <c r="F26" s="297">
        <f>135*1.03</f>
        <v>139.05000000000001</v>
      </c>
      <c r="G26" s="295">
        <f t="shared" si="1"/>
        <v>0</v>
      </c>
      <c r="H26" s="299">
        <v>0.44</v>
      </c>
      <c r="I26" s="231">
        <f t="shared" si="0"/>
        <v>0</v>
      </c>
      <c r="J26" s="300">
        <f>I26*VLOOKUP($B$10,'Base Costs'!$A$32:$B$37,2,FALSE)</f>
        <v>0</v>
      </c>
      <c r="K26" s="301">
        <f t="shared" si="2"/>
        <v>0</v>
      </c>
    </row>
    <row r="27" spans="2:11" ht="16" customHeight="1" x14ac:dyDescent="0.2">
      <c r="B27" s="204" t="s">
        <v>540</v>
      </c>
      <c r="C27" s="186"/>
      <c r="D27" s="204" t="s">
        <v>541</v>
      </c>
      <c r="E27" s="204"/>
      <c r="F27" s="297">
        <f>'Base Costs'!AM16</f>
        <v>5.4484000000000004</v>
      </c>
      <c r="G27" s="295">
        <f t="shared" si="1"/>
        <v>0</v>
      </c>
      <c r="H27" s="299">
        <v>0.44</v>
      </c>
      <c r="I27" s="231">
        <f t="shared" si="0"/>
        <v>0</v>
      </c>
      <c r="J27" s="300">
        <f>I27*VLOOKUP($B$10,'Base Costs'!$A$32:$B$37,2,FALSE)</f>
        <v>0</v>
      </c>
      <c r="K27" s="301">
        <f t="shared" si="2"/>
        <v>0</v>
      </c>
    </row>
    <row r="28" spans="2:11" ht="16" customHeight="1" x14ac:dyDescent="0.2">
      <c r="B28" s="204" t="s">
        <v>540</v>
      </c>
      <c r="C28" s="186"/>
      <c r="D28" s="204" t="s">
        <v>542</v>
      </c>
      <c r="E28" s="204"/>
      <c r="F28" s="297">
        <f>'Base Costs'!AM18</f>
        <v>27.220800000000001</v>
      </c>
      <c r="G28" s="295">
        <f t="shared" si="1"/>
        <v>0</v>
      </c>
      <c r="H28" s="299">
        <v>0.44</v>
      </c>
      <c r="I28" s="231">
        <f t="shared" si="0"/>
        <v>0</v>
      </c>
      <c r="J28" s="300">
        <f>I28*VLOOKUP($B$10,'Base Costs'!$A$32:$B$37,2,FALSE)</f>
        <v>0</v>
      </c>
      <c r="K28" s="301">
        <f t="shared" si="2"/>
        <v>0</v>
      </c>
    </row>
    <row r="29" spans="2:11" ht="16" customHeight="1" x14ac:dyDescent="0.2">
      <c r="B29" s="204"/>
      <c r="C29" s="186"/>
      <c r="D29" s="204" t="s">
        <v>543</v>
      </c>
      <c r="E29" s="204"/>
      <c r="F29" s="297">
        <f>'Base Costs'!AM19</f>
        <v>0</v>
      </c>
      <c r="G29" s="295">
        <f t="shared" si="1"/>
        <v>0</v>
      </c>
      <c r="H29" s="299">
        <v>0.44</v>
      </c>
      <c r="I29" s="231">
        <f t="shared" si="0"/>
        <v>0</v>
      </c>
      <c r="J29" s="300">
        <f>I29*VLOOKUP($B$10,'Base Costs'!$A$32:$B$37,2,FALSE)</f>
        <v>0</v>
      </c>
      <c r="K29" s="301">
        <f t="shared" si="2"/>
        <v>0</v>
      </c>
    </row>
    <row r="30" spans="2:11" ht="16" customHeight="1" x14ac:dyDescent="0.2">
      <c r="B30" s="204" t="s">
        <v>544</v>
      </c>
      <c r="C30" s="186"/>
      <c r="D30" s="204" t="s">
        <v>545</v>
      </c>
      <c r="E30" s="204"/>
      <c r="F30" s="297">
        <f>'Base Costs'!AM20</f>
        <v>262.03199999999998</v>
      </c>
      <c r="G30" s="295">
        <f t="shared" si="1"/>
        <v>0</v>
      </c>
      <c r="H30" s="299">
        <v>0.44</v>
      </c>
      <c r="I30" s="231">
        <f t="shared" si="0"/>
        <v>0</v>
      </c>
      <c r="J30" s="300">
        <f>I30*VLOOKUP($B$10,'Base Costs'!$A$32:$B$37,2,FALSE)</f>
        <v>0</v>
      </c>
      <c r="K30" s="301">
        <f t="shared" si="2"/>
        <v>0</v>
      </c>
    </row>
    <row r="31" spans="2:11" ht="16" customHeight="1" x14ac:dyDescent="0.2">
      <c r="B31" s="204"/>
      <c r="C31" s="186"/>
      <c r="D31" s="215" t="s">
        <v>546</v>
      </c>
      <c r="E31" s="215"/>
      <c r="F31" s="297">
        <f>'Base Costs'!AM21</f>
        <v>0</v>
      </c>
      <c r="G31" s="295">
        <f t="shared" si="1"/>
        <v>0</v>
      </c>
      <c r="H31" s="299">
        <v>0.44</v>
      </c>
      <c r="I31" s="231">
        <f t="shared" si="0"/>
        <v>0</v>
      </c>
      <c r="J31" s="300">
        <f>I31*VLOOKUP($B$10,'Base Costs'!$A$32:$B$37,2,FALSE)</f>
        <v>0</v>
      </c>
      <c r="K31" s="301">
        <f t="shared" si="2"/>
        <v>0</v>
      </c>
    </row>
    <row r="32" spans="2:11" ht="16" customHeight="1" x14ac:dyDescent="0.2">
      <c r="B32" s="204" t="s">
        <v>484</v>
      </c>
      <c r="C32" s="186"/>
      <c r="D32" s="204"/>
      <c r="E32" s="204"/>
      <c r="F32" s="297">
        <v>0</v>
      </c>
      <c r="G32" s="295">
        <f t="shared" si="1"/>
        <v>0</v>
      </c>
      <c r="H32" s="299">
        <v>0.44</v>
      </c>
      <c r="I32" s="231">
        <f t="shared" si="0"/>
        <v>0</v>
      </c>
      <c r="J32" s="300">
        <f>I32*VLOOKUP($B$10,'Base Costs'!$A$32:$B$37,2,FALSE)</f>
        <v>0</v>
      </c>
      <c r="K32" s="301">
        <f t="shared" si="2"/>
        <v>0</v>
      </c>
    </row>
    <row r="33" spans="2:14" ht="16" customHeight="1" x14ac:dyDescent="0.2">
      <c r="B33" s="204" t="s">
        <v>547</v>
      </c>
      <c r="C33" s="186"/>
      <c r="D33" s="204"/>
      <c r="E33" s="204"/>
      <c r="F33" s="297">
        <v>0</v>
      </c>
      <c r="G33" s="295">
        <f t="shared" si="1"/>
        <v>0</v>
      </c>
      <c r="H33" s="299">
        <v>0.44</v>
      </c>
      <c r="I33" s="231">
        <f t="shared" si="0"/>
        <v>0</v>
      </c>
      <c r="J33" s="300">
        <f>I33*VLOOKUP($B$10,'Base Costs'!$A$32:$B$37,2,FALSE)</f>
        <v>0</v>
      </c>
      <c r="K33" s="301">
        <f t="shared" si="2"/>
        <v>0</v>
      </c>
    </row>
    <row r="34" spans="2:14" ht="16" customHeight="1" x14ac:dyDescent="0.2">
      <c r="B34" s="204" t="s">
        <v>498</v>
      </c>
      <c r="C34" s="186"/>
      <c r="D34" s="204"/>
      <c r="E34" s="204"/>
      <c r="F34" s="297">
        <v>0</v>
      </c>
      <c r="G34" s="295">
        <f t="shared" si="1"/>
        <v>0</v>
      </c>
      <c r="H34" s="299">
        <v>0.44</v>
      </c>
      <c r="I34" s="231">
        <f t="shared" si="0"/>
        <v>0</v>
      </c>
      <c r="J34" s="300">
        <f>I34*VLOOKUP($B$10,'Base Costs'!$A$32:$B$37,2,FALSE)</f>
        <v>0</v>
      </c>
      <c r="K34" s="301">
        <f t="shared" si="2"/>
        <v>0</v>
      </c>
    </row>
    <row r="35" spans="2:14" ht="16" customHeight="1" x14ac:dyDescent="0.2">
      <c r="B35" s="204"/>
      <c r="C35" s="186"/>
      <c r="D35" s="217" t="s">
        <v>548</v>
      </c>
      <c r="E35" s="217"/>
      <c r="F35" s="297">
        <f>'Base Costs'!AM22</f>
        <v>0</v>
      </c>
      <c r="G35" s="295">
        <f t="shared" si="1"/>
        <v>0</v>
      </c>
      <c r="H35" s="299">
        <v>0.44</v>
      </c>
      <c r="I35" s="231">
        <f t="shared" si="0"/>
        <v>0</v>
      </c>
      <c r="J35" s="300">
        <f>I35*VLOOKUP($B$10,'Base Costs'!$A$32:$B$37,2,FALSE)</f>
        <v>0</v>
      </c>
      <c r="K35" s="301">
        <f t="shared" si="2"/>
        <v>0</v>
      </c>
    </row>
    <row r="36" spans="2:14" ht="16" customHeight="1" x14ac:dyDescent="0.2">
      <c r="B36" s="204" t="s">
        <v>549</v>
      </c>
      <c r="C36" s="186"/>
      <c r="D36" s="204" t="s">
        <v>550</v>
      </c>
      <c r="E36" s="204"/>
      <c r="F36" s="297">
        <f>'Base Costs'!AM23</f>
        <v>0</v>
      </c>
      <c r="G36" s="295">
        <f t="shared" si="1"/>
        <v>0</v>
      </c>
      <c r="H36" s="299">
        <v>0.44</v>
      </c>
      <c r="I36" s="231">
        <f t="shared" si="0"/>
        <v>0</v>
      </c>
      <c r="J36" s="300">
        <f>I36*VLOOKUP($B$10,'Base Costs'!$A$32:$B$37,2,FALSE)</f>
        <v>0</v>
      </c>
      <c r="K36" s="301">
        <f t="shared" si="2"/>
        <v>0</v>
      </c>
    </row>
    <row r="37" spans="2:14" ht="16" customHeight="1" x14ac:dyDescent="0.2">
      <c r="B37" s="856" t="s">
        <v>551</v>
      </c>
      <c r="C37" s="875">
        <v>1</v>
      </c>
      <c r="D37" s="876" t="s">
        <v>552</v>
      </c>
      <c r="E37" s="856"/>
      <c r="F37" s="871">
        <v>5</v>
      </c>
      <c r="G37" s="872">
        <f t="shared" si="1"/>
        <v>5</v>
      </c>
      <c r="H37" s="877">
        <v>0.44</v>
      </c>
      <c r="I37" s="878">
        <f t="shared" si="0"/>
        <v>8.928571428571427</v>
      </c>
      <c r="J37" s="879">
        <f>I37*VLOOKUP($B$10,'Base Costs'!$A$32:$B$37,2,FALSE)</f>
        <v>8.928571428571427</v>
      </c>
      <c r="K37" s="880">
        <f t="shared" si="2"/>
        <v>3.928571428571427</v>
      </c>
      <c r="L37" s="881" t="s">
        <v>70</v>
      </c>
      <c r="M37" s="881"/>
    </row>
    <row r="38" spans="2:14" ht="16" customHeight="1" x14ac:dyDescent="0.2">
      <c r="B38" s="204"/>
      <c r="C38" s="186"/>
      <c r="D38" s="204" t="s">
        <v>553</v>
      </c>
      <c r="E38" s="204"/>
      <c r="F38" s="297">
        <f>'Base Costs'!AM25</f>
        <v>0</v>
      </c>
      <c r="G38" s="295">
        <f t="shared" si="1"/>
        <v>0</v>
      </c>
      <c r="H38" s="299">
        <v>0.44</v>
      </c>
      <c r="I38" s="231">
        <f t="shared" si="0"/>
        <v>0</v>
      </c>
      <c r="J38" s="300">
        <f>I38*VLOOKUP($B$10,'Base Costs'!$A$32:$B$37,2,FALSE)</f>
        <v>0</v>
      </c>
      <c r="K38" s="301">
        <f t="shared" si="2"/>
        <v>0</v>
      </c>
    </row>
    <row r="39" spans="2:14" ht="16" customHeight="1" x14ac:dyDescent="0.2">
      <c r="B39" s="204" t="s">
        <v>554</v>
      </c>
      <c r="C39" s="186"/>
      <c r="D39" s="204" t="s">
        <v>555</v>
      </c>
      <c r="E39" s="204"/>
      <c r="F39" s="297">
        <f>175*1.03</f>
        <v>180.25</v>
      </c>
      <c r="G39" s="295">
        <f t="shared" si="1"/>
        <v>0</v>
      </c>
      <c r="H39" s="299">
        <v>0.44</v>
      </c>
      <c r="I39" s="231">
        <f t="shared" si="0"/>
        <v>0</v>
      </c>
      <c r="J39" s="300">
        <f>I39*VLOOKUP($B$10,'Base Costs'!$A$32:$B$37,2,FALSE)</f>
        <v>0</v>
      </c>
      <c r="K39" s="301">
        <f t="shared" si="2"/>
        <v>0</v>
      </c>
    </row>
    <row r="40" spans="2:14" ht="16" customHeight="1" x14ac:dyDescent="0.2">
      <c r="B40" s="204" t="s">
        <v>556</v>
      </c>
      <c r="C40" s="186"/>
      <c r="D40" s="204" t="s">
        <v>555</v>
      </c>
      <c r="E40" s="204"/>
      <c r="F40" s="297">
        <f>175*1.03</f>
        <v>180.25</v>
      </c>
      <c r="G40" s="295">
        <f t="shared" si="1"/>
        <v>0</v>
      </c>
      <c r="H40" s="299">
        <v>0.44</v>
      </c>
      <c r="I40" s="231">
        <f t="shared" si="0"/>
        <v>0</v>
      </c>
      <c r="J40" s="300">
        <f>I40*VLOOKUP($B$10,'Base Costs'!$A$32:$B$37,2,FALSE)</f>
        <v>0</v>
      </c>
      <c r="K40" s="301">
        <f t="shared" si="2"/>
        <v>0</v>
      </c>
    </row>
    <row r="41" spans="2:14" ht="16" customHeight="1" x14ac:dyDescent="0.2">
      <c r="B41" s="805" t="s">
        <v>557</v>
      </c>
      <c r="C41" s="186">
        <v>1</v>
      </c>
      <c r="D41" s="216" t="s">
        <v>558</v>
      </c>
      <c r="E41" s="216"/>
      <c r="F41" s="297">
        <v>610</v>
      </c>
      <c r="G41" s="295">
        <f t="shared" si="1"/>
        <v>610</v>
      </c>
      <c r="H41" s="299">
        <v>0.4</v>
      </c>
      <c r="I41" s="231">
        <f t="shared" si="0"/>
        <v>1016.6666666666667</v>
      </c>
      <c r="J41" s="300">
        <f>I41*VLOOKUP($B$10,'Base Costs'!$A$32:$B$37,2,FALSE)</f>
        <v>1016.6666666666667</v>
      </c>
      <c r="K41" s="301">
        <f t="shared" si="2"/>
        <v>406.66666666666674</v>
      </c>
    </row>
    <row r="42" spans="2:14" x14ac:dyDescent="0.2">
      <c r="B42" s="199"/>
      <c r="C42" s="17"/>
      <c r="F42" s="200"/>
      <c r="G42" s="200"/>
      <c r="H42" s="201"/>
      <c r="I42" s="288"/>
      <c r="J42" s="288"/>
      <c r="K42" s="289"/>
    </row>
    <row r="43" spans="2:14" ht="16" customHeight="1" x14ac:dyDescent="0.2">
      <c r="B43" s="80" t="s">
        <v>559</v>
      </c>
      <c r="C43" s="80"/>
      <c r="D43" s="81"/>
      <c r="E43" s="81"/>
      <c r="F43" s="81"/>
      <c r="G43" s="123">
        <f>SUBTOTAL(9,G46:G55)</f>
        <v>0</v>
      </c>
      <c r="H43" s="15" t="str">
        <f>IF(G43=0,"-",K43/I43)</f>
        <v>-</v>
      </c>
      <c r="I43" s="123">
        <f>SUBTOTAL(9,I46:I55)</f>
        <v>0</v>
      </c>
      <c r="J43" s="382">
        <f>SUBTOTAL(9,J44:J55)</f>
        <v>0</v>
      </c>
      <c r="K43" s="123">
        <f>SUBTOTAL(9,K46:K55)</f>
        <v>0</v>
      </c>
      <c r="L43" s="202"/>
      <c r="M43" s="203"/>
      <c r="N43" s="203"/>
    </row>
    <row r="44" spans="2:14" ht="16.5" customHeight="1" x14ac:dyDescent="0.2">
      <c r="B44" s="492" t="s">
        <v>462</v>
      </c>
      <c r="C44" s="221"/>
      <c r="D44" s="224" t="s">
        <v>95</v>
      </c>
      <c r="E44" s="206"/>
      <c r="F44" s="297">
        <f>VLOOKUP(D44,'Base Costs'!E4:G213,2,FALSE)</f>
        <v>0</v>
      </c>
      <c r="G44" s="295">
        <f t="shared" ref="G44:G55" si="3">C44*F44</f>
        <v>0</v>
      </c>
      <c r="H44" s="299">
        <v>0.33</v>
      </c>
      <c r="I44" s="231">
        <f t="shared" ref="I44:I55" si="4">G44/(1-H44)*(1+$C$10)</f>
        <v>0</v>
      </c>
      <c r="J44" s="300">
        <f>I44*VLOOKUP($B$10,'Base Costs'!$A$32:$B$37,2,FALSE)</f>
        <v>0</v>
      </c>
      <c r="K44" s="301">
        <f t="shared" ref="K44:K55" si="5">I44-G44</f>
        <v>0</v>
      </c>
    </row>
    <row r="45" spans="2:14" ht="16" customHeight="1" x14ac:dyDescent="0.2">
      <c r="B45" s="204" t="s">
        <v>463</v>
      </c>
      <c r="C45" s="221"/>
      <c r="D45" s="223" t="s">
        <v>93</v>
      </c>
      <c r="E45" s="205"/>
      <c r="F45" s="297">
        <f>VLOOKUP(D45,'Base Costs'!A4:B16,2,FALSE)</f>
        <v>0</v>
      </c>
      <c r="G45" s="295">
        <f t="shared" si="3"/>
        <v>0</v>
      </c>
      <c r="H45" s="299">
        <v>0.33</v>
      </c>
      <c r="I45" s="231">
        <f t="shared" si="4"/>
        <v>0</v>
      </c>
      <c r="J45" s="300">
        <f>I45*VLOOKUP($B$10,'Base Costs'!$A$32:$B$37,2,FALSE)</f>
        <v>0</v>
      </c>
      <c r="K45" s="301">
        <f t="shared" si="5"/>
        <v>0</v>
      </c>
    </row>
    <row r="46" spans="2:14" ht="16" customHeight="1" x14ac:dyDescent="0.2">
      <c r="B46" s="204" t="s">
        <v>560</v>
      </c>
      <c r="C46" s="221"/>
      <c r="D46" s="204" t="s">
        <v>561</v>
      </c>
      <c r="E46" s="204"/>
      <c r="F46" s="297">
        <f>250*1.03</f>
        <v>257.5</v>
      </c>
      <c r="G46" s="295">
        <f t="shared" si="3"/>
        <v>0</v>
      </c>
      <c r="H46" s="299">
        <v>0.4</v>
      </c>
      <c r="I46" s="231">
        <f t="shared" si="4"/>
        <v>0</v>
      </c>
      <c r="J46" s="300">
        <f>I46*VLOOKUP($B$10,'Base Costs'!$A$32:$B$37,2,FALSE)</f>
        <v>0</v>
      </c>
      <c r="K46" s="301">
        <f t="shared" si="5"/>
        <v>0</v>
      </c>
    </row>
    <row r="47" spans="2:14" ht="16" customHeight="1" x14ac:dyDescent="0.2">
      <c r="B47" s="204" t="s">
        <v>562</v>
      </c>
      <c r="C47" s="221"/>
      <c r="D47" s="204" t="s">
        <v>563</v>
      </c>
      <c r="E47" s="204"/>
      <c r="F47" s="297">
        <f>300*1.03</f>
        <v>309</v>
      </c>
      <c r="G47" s="295">
        <f t="shared" si="3"/>
        <v>0</v>
      </c>
      <c r="H47" s="299">
        <v>0.4</v>
      </c>
      <c r="I47" s="231">
        <f t="shared" si="4"/>
        <v>0</v>
      </c>
      <c r="J47" s="300">
        <f>I47*VLOOKUP($B$10,'Base Costs'!$A$32:$B$37,2,FALSE)</f>
        <v>0</v>
      </c>
      <c r="K47" s="301">
        <f t="shared" si="5"/>
        <v>0</v>
      </c>
    </row>
    <row r="48" spans="2:14" ht="16" customHeight="1" x14ac:dyDescent="0.2">
      <c r="B48" s="204" t="s">
        <v>564</v>
      </c>
      <c r="C48" s="221"/>
      <c r="D48" s="204" t="s">
        <v>565</v>
      </c>
      <c r="E48" s="204"/>
      <c r="F48" s="297">
        <f>4.5*1.03</f>
        <v>4.6349999999999998</v>
      </c>
      <c r="G48" s="295">
        <f t="shared" si="3"/>
        <v>0</v>
      </c>
      <c r="H48" s="299">
        <v>0.4</v>
      </c>
      <c r="I48" s="231">
        <f t="shared" si="4"/>
        <v>0</v>
      </c>
      <c r="J48" s="300">
        <f>I48*VLOOKUP($B$10,'Base Costs'!$A$32:$B$37,2,FALSE)</f>
        <v>0</v>
      </c>
      <c r="K48" s="301">
        <f t="shared" si="5"/>
        <v>0</v>
      </c>
    </row>
    <row r="49" spans="2:11" ht="16" customHeight="1" x14ac:dyDescent="0.2">
      <c r="B49" s="204" t="s">
        <v>566</v>
      </c>
      <c r="C49" s="221"/>
      <c r="D49" s="204" t="s">
        <v>567</v>
      </c>
      <c r="E49" s="204"/>
      <c r="F49" s="297">
        <f>300*1.03</f>
        <v>309</v>
      </c>
      <c r="G49" s="295">
        <f t="shared" si="3"/>
        <v>0</v>
      </c>
      <c r="H49" s="299">
        <v>0.4</v>
      </c>
      <c r="I49" s="231">
        <f t="shared" si="4"/>
        <v>0</v>
      </c>
      <c r="J49" s="300">
        <f>I49*VLOOKUP($B$10,'Base Costs'!$A$32:$B$37,2,FALSE)</f>
        <v>0</v>
      </c>
      <c r="K49" s="301">
        <f t="shared" si="5"/>
        <v>0</v>
      </c>
    </row>
    <row r="50" spans="2:11" ht="16" customHeight="1" x14ac:dyDescent="0.2">
      <c r="B50" s="204" t="s">
        <v>568</v>
      </c>
      <c r="C50" s="221"/>
      <c r="D50" s="204" t="s">
        <v>569</v>
      </c>
      <c r="E50" s="204"/>
      <c r="F50" s="297">
        <f>300*1.03</f>
        <v>309</v>
      </c>
      <c r="G50" s="295">
        <f t="shared" si="3"/>
        <v>0</v>
      </c>
      <c r="H50" s="299">
        <v>0.4</v>
      </c>
      <c r="I50" s="231">
        <f t="shared" si="4"/>
        <v>0</v>
      </c>
      <c r="J50" s="300">
        <f>I50*VLOOKUP($B$10,'Base Costs'!$A$32:$B$37,2,FALSE)</f>
        <v>0</v>
      </c>
      <c r="K50" s="301">
        <f t="shared" si="5"/>
        <v>0</v>
      </c>
    </row>
    <row r="51" spans="2:11" ht="16" customHeight="1" x14ac:dyDescent="0.2">
      <c r="B51" s="204" t="s">
        <v>570</v>
      </c>
      <c r="C51" s="221"/>
      <c r="D51" s="204" t="s">
        <v>569</v>
      </c>
      <c r="E51" s="204"/>
      <c r="F51" s="297">
        <f>300*1.03</f>
        <v>309</v>
      </c>
      <c r="G51" s="295">
        <f t="shared" si="3"/>
        <v>0</v>
      </c>
      <c r="H51" s="299">
        <v>0.4</v>
      </c>
      <c r="I51" s="231">
        <f t="shared" si="4"/>
        <v>0</v>
      </c>
      <c r="J51" s="300">
        <f>I51*VLOOKUP($B$10,'Base Costs'!$A$32:$B$37,2,FALSE)</f>
        <v>0</v>
      </c>
      <c r="K51" s="301">
        <f t="shared" si="5"/>
        <v>0</v>
      </c>
    </row>
    <row r="52" spans="2:11" ht="16" customHeight="1" x14ac:dyDescent="0.2">
      <c r="B52" s="204" t="s">
        <v>571</v>
      </c>
      <c r="C52" s="222"/>
      <c r="D52" s="491" t="s">
        <v>572</v>
      </c>
      <c r="E52" s="207"/>
      <c r="F52" s="297">
        <v>610</v>
      </c>
      <c r="G52" s="295">
        <f t="shared" si="3"/>
        <v>0</v>
      </c>
      <c r="H52" s="299">
        <v>0.4</v>
      </c>
      <c r="I52" s="231">
        <f t="shared" si="4"/>
        <v>0</v>
      </c>
      <c r="J52" s="300">
        <f>I52*VLOOKUP($B$10,'Base Costs'!$A$32:$B$37,2,FALSE)</f>
        <v>0</v>
      </c>
      <c r="K52" s="301">
        <f t="shared" si="5"/>
        <v>0</v>
      </c>
    </row>
    <row r="53" spans="2:11" ht="16" customHeight="1" x14ac:dyDescent="0.2">
      <c r="B53" s="204" t="s">
        <v>468</v>
      </c>
      <c r="C53" s="221"/>
      <c r="D53" s="204"/>
      <c r="E53" s="204"/>
      <c r="F53" s="297">
        <v>220</v>
      </c>
      <c r="G53" s="295">
        <f t="shared" si="3"/>
        <v>0</v>
      </c>
      <c r="H53" s="299">
        <v>0.33</v>
      </c>
      <c r="I53" s="231">
        <f t="shared" si="4"/>
        <v>0</v>
      </c>
      <c r="J53" s="300">
        <f>I53*VLOOKUP($B$10,'Base Costs'!$A$32:$B$37,2,FALSE)</f>
        <v>0</v>
      </c>
      <c r="K53" s="301">
        <f t="shared" si="5"/>
        <v>0</v>
      </c>
    </row>
    <row r="54" spans="2:11" ht="16" customHeight="1" x14ac:dyDescent="0.2">
      <c r="B54" s="204" t="s">
        <v>465</v>
      </c>
      <c r="C54" s="221"/>
      <c r="D54" s="204"/>
      <c r="E54" s="204"/>
      <c r="F54" s="297">
        <v>0</v>
      </c>
      <c r="G54" s="295">
        <f t="shared" si="3"/>
        <v>0</v>
      </c>
      <c r="H54" s="299">
        <v>0.33</v>
      </c>
      <c r="I54" s="231">
        <f t="shared" si="4"/>
        <v>0</v>
      </c>
      <c r="J54" s="300">
        <f>I54*VLOOKUP($B$10,'Base Costs'!$A$32:$B$37,2,FALSE)</f>
        <v>0</v>
      </c>
      <c r="K54" s="301">
        <f t="shared" si="5"/>
        <v>0</v>
      </c>
    </row>
    <row r="55" spans="2:11" ht="16" customHeight="1" x14ac:dyDescent="0.2">
      <c r="B55" s="204" t="s">
        <v>107</v>
      </c>
      <c r="C55" s="221"/>
      <c r="D55" s="205" t="s">
        <v>573</v>
      </c>
      <c r="E55" s="204"/>
      <c r="F55" s="297">
        <v>604</v>
      </c>
      <c r="G55" s="295">
        <f t="shared" si="3"/>
        <v>0</v>
      </c>
      <c r="H55" s="299">
        <v>0.33</v>
      </c>
      <c r="I55" s="231">
        <f t="shared" si="4"/>
        <v>0</v>
      </c>
      <c r="J55" s="300">
        <f>I55*VLOOKUP($B$10,'Base Costs'!$A$32:$B$37,2,FALSE)</f>
        <v>0</v>
      </c>
      <c r="K55" s="301">
        <f t="shared" si="5"/>
        <v>0</v>
      </c>
    </row>
    <row r="56" spans="2:11" x14ac:dyDescent="0.2">
      <c r="B56" s="208"/>
      <c r="C56" s="17"/>
      <c r="D56" s="209"/>
      <c r="E56" s="209"/>
      <c r="F56" s="210"/>
      <c r="G56" s="290"/>
      <c r="H56" s="211"/>
      <c r="I56" s="291"/>
      <c r="J56" s="291"/>
      <c r="K56" s="288"/>
    </row>
    <row r="57" spans="2:11" x14ac:dyDescent="0.2">
      <c r="B57" s="139" t="s">
        <v>46</v>
      </c>
      <c r="C57" s="140"/>
      <c r="D57" s="141"/>
      <c r="E57" s="141"/>
      <c r="F57" s="140"/>
      <c r="G57" s="142"/>
      <c r="H57" s="140"/>
      <c r="I57" s="140"/>
      <c r="J57" s="140"/>
      <c r="K57" s="140"/>
    </row>
    <row r="58" spans="2:11" x14ac:dyDescent="0.2">
      <c r="B58" s="143"/>
      <c r="C58" s="144"/>
      <c r="D58" s="143"/>
      <c r="E58" s="145"/>
      <c r="F58" s="143"/>
      <c r="G58" s="149"/>
      <c r="H58" s="144"/>
      <c r="I58" s="144"/>
      <c r="J58" s="144"/>
      <c r="K58" s="146"/>
    </row>
    <row r="59" spans="2:11" x14ac:dyDescent="0.2">
      <c r="B59" s="143"/>
      <c r="C59" s="144"/>
      <c r="D59" s="143"/>
      <c r="E59" s="145"/>
      <c r="F59" s="143"/>
      <c r="G59" s="149"/>
      <c r="H59" s="144"/>
      <c r="I59" s="144"/>
      <c r="J59" s="144"/>
      <c r="K59" s="146"/>
    </row>
    <row r="60" spans="2:11" x14ac:dyDescent="0.2">
      <c r="B60" s="143"/>
      <c r="C60" s="144"/>
      <c r="D60" s="143"/>
      <c r="E60" s="145"/>
      <c r="F60" s="143"/>
      <c r="G60" s="149"/>
      <c r="H60" s="144"/>
      <c r="I60" s="144"/>
      <c r="J60" s="144"/>
      <c r="K60" s="149"/>
    </row>
    <row r="61" spans="2:11" x14ac:dyDescent="0.2">
      <c r="B61" s="143"/>
      <c r="C61" s="144"/>
      <c r="D61" s="143"/>
      <c r="E61" s="145"/>
      <c r="F61" s="143"/>
      <c r="G61" s="149"/>
      <c r="H61" s="147"/>
      <c r="I61" s="144"/>
      <c r="J61" s="144"/>
      <c r="K61" s="149"/>
    </row>
    <row r="62" spans="2:11" x14ac:dyDescent="0.2">
      <c r="B62" s="143"/>
      <c r="C62" s="144"/>
      <c r="D62" s="143"/>
      <c r="E62" s="143"/>
      <c r="F62" s="143"/>
      <c r="G62" s="148"/>
      <c r="H62" s="149"/>
      <c r="I62" s="144"/>
      <c r="J62" s="144"/>
      <c r="K62" s="146"/>
    </row>
    <row r="63" spans="2:11" x14ac:dyDescent="0.2">
      <c r="B63" s="143"/>
      <c r="C63" s="143"/>
      <c r="D63" s="143"/>
      <c r="E63" s="143"/>
      <c r="F63" s="143"/>
      <c r="G63" s="148"/>
      <c r="H63" s="149"/>
      <c r="I63" s="144"/>
      <c r="J63" s="144"/>
      <c r="K63" s="146"/>
    </row>
    <row r="64" spans="2:11" x14ac:dyDescent="0.2">
      <c r="D64" s="212"/>
      <c r="E64" s="212"/>
    </row>
    <row r="65" spans="2:5" x14ac:dyDescent="0.2">
      <c r="D65" s="212"/>
      <c r="E65" s="212"/>
    </row>
    <row r="66" spans="2:5" x14ac:dyDescent="0.2">
      <c r="D66" s="212"/>
      <c r="E66" s="212"/>
    </row>
    <row r="67" spans="2:5" x14ac:dyDescent="0.2">
      <c r="D67" s="212"/>
      <c r="E67" s="212"/>
    </row>
    <row r="68" spans="2:5" x14ac:dyDescent="0.2">
      <c r="D68" s="212"/>
      <c r="E68" s="212"/>
    </row>
    <row r="69" spans="2:5" x14ac:dyDescent="0.2">
      <c r="D69" s="212"/>
      <c r="E69" s="212"/>
    </row>
    <row r="70" spans="2:5" x14ac:dyDescent="0.2">
      <c r="D70" s="212"/>
      <c r="E70" s="212"/>
    </row>
    <row r="71" spans="2:5" x14ac:dyDescent="0.2">
      <c r="D71" s="212"/>
      <c r="E71" s="212"/>
    </row>
    <row r="72" spans="2:5" x14ac:dyDescent="0.2">
      <c r="D72" s="212"/>
      <c r="E72" s="212"/>
    </row>
    <row r="73" spans="2:5" x14ac:dyDescent="0.2">
      <c r="D73" s="212"/>
      <c r="E73" s="212"/>
    </row>
    <row r="74" spans="2:5" x14ac:dyDescent="0.2">
      <c r="D74" s="212"/>
      <c r="E74" s="212"/>
    </row>
    <row r="75" spans="2:5" x14ac:dyDescent="0.2">
      <c r="B75" s="212"/>
      <c r="C75" s="214"/>
      <c r="D75" s="212"/>
      <c r="E75" s="212"/>
    </row>
    <row r="76" spans="2:5" x14ac:dyDescent="0.2">
      <c r="B76" s="214"/>
      <c r="C76" s="214"/>
      <c r="D76" s="214"/>
      <c r="E76" s="214"/>
    </row>
    <row r="77" spans="2:5" x14ac:dyDescent="0.2">
      <c r="D77" s="212"/>
      <c r="E77" s="212"/>
    </row>
    <row r="78" spans="2:5" x14ac:dyDescent="0.2">
      <c r="D78" s="212"/>
      <c r="E78" s="212"/>
    </row>
    <row r="79" spans="2:5" x14ac:dyDescent="0.2">
      <c r="D79" s="212"/>
      <c r="E79" s="212"/>
    </row>
    <row r="80" spans="2:5" x14ac:dyDescent="0.2">
      <c r="D80" s="212"/>
      <c r="E80" s="212"/>
    </row>
    <row r="81" spans="4:5" x14ac:dyDescent="0.2">
      <c r="D81" s="212"/>
      <c r="E81" s="212"/>
    </row>
    <row r="82" spans="4:5" x14ac:dyDescent="0.2">
      <c r="D82" s="212"/>
      <c r="E82" s="212"/>
    </row>
    <row r="83" spans="4:5" x14ac:dyDescent="0.2">
      <c r="D83" s="212"/>
      <c r="E83" s="212"/>
    </row>
    <row r="84" spans="4:5" x14ac:dyDescent="0.2">
      <c r="D84" s="212"/>
      <c r="E84" s="212"/>
    </row>
    <row r="85" spans="4:5" x14ac:dyDescent="0.2">
      <c r="D85" s="212"/>
      <c r="E85" s="212"/>
    </row>
    <row r="86" spans="4:5" x14ac:dyDescent="0.2">
      <c r="D86" s="212"/>
      <c r="E86" s="212"/>
    </row>
  </sheetData>
  <mergeCells count="8">
    <mergeCell ref="L7:N7"/>
    <mergeCell ref="C7:D7"/>
    <mergeCell ref="F5:H5"/>
    <mergeCell ref="B1:D1"/>
    <mergeCell ref="C5:D5"/>
    <mergeCell ref="F7:H7"/>
    <mergeCell ref="F3:H3"/>
    <mergeCell ref="C3:D3"/>
  </mergeCells>
  <conditionalFormatting sqref="B10 F12:F13">
    <cfRule type="containsText" dxfId="259" priority="49" operator="containsText" text="SELECT">
      <formula>NOT(ISERROR(SEARCH("SELECT",B10)))</formula>
    </cfRule>
    <cfRule type="expression" dxfId="258" priority="50">
      <formula>B10="CURRENCY"</formula>
    </cfRule>
  </conditionalFormatting>
  <conditionalFormatting sqref="B14:B41">
    <cfRule type="expression" dxfId="257" priority="3">
      <formula>$C14&gt;0</formula>
    </cfRule>
  </conditionalFormatting>
  <conditionalFormatting sqref="B44:B55">
    <cfRule type="expression" dxfId="256" priority="1">
      <formula>$C44&gt;0</formula>
    </cfRule>
  </conditionalFormatting>
  <conditionalFormatting sqref="C14:C41 C44:C55">
    <cfRule type="cellIs" dxfId="255" priority="59" operator="equal">
      <formula>0</formula>
    </cfRule>
  </conditionalFormatting>
  <conditionalFormatting sqref="C10:D10">
    <cfRule type="cellIs" dxfId="254" priority="9" operator="lessThan">
      <formula>0</formula>
    </cfRule>
    <cfRule type="cellIs" dxfId="253" priority="10" operator="greaterThan">
      <formula>0</formula>
    </cfRule>
  </conditionalFormatting>
  <conditionalFormatting sqref="E12:E13">
    <cfRule type="cellIs" dxfId="252" priority="52" operator="greaterThan">
      <formula>0</formula>
    </cfRule>
    <cfRule type="cellIs" dxfId="251" priority="53" operator="lessThan">
      <formula>0</formula>
    </cfRule>
  </conditionalFormatting>
  <conditionalFormatting sqref="F14:F41 F44:F55">
    <cfRule type="expression" dxfId="250" priority="6">
      <formula>C14&gt;0</formula>
    </cfRule>
  </conditionalFormatting>
  <conditionalFormatting sqref="G14:G41 G44:G55">
    <cfRule type="cellIs" dxfId="249" priority="5" operator="greaterThan">
      <formula>0</formula>
    </cfRule>
  </conditionalFormatting>
  <conditionalFormatting sqref="H14:H41 H44:H55">
    <cfRule type="expression" dxfId="248" priority="231">
      <formula>$C$10&lt;0</formula>
    </cfRule>
    <cfRule type="expression" dxfId="247" priority="232">
      <formula>$C$10&gt;0</formula>
    </cfRule>
  </conditionalFormatting>
  <conditionalFormatting sqref="J1:J6 J8:J11 J13:J1048576">
    <cfRule type="expression" dxfId="246" priority="198">
      <formula>$B$10="EURO"</formula>
    </cfRule>
  </conditionalFormatting>
  <conditionalFormatting sqref="J10 J13:J41 J43:J55">
    <cfRule type="expression" dxfId="245" priority="205">
      <formula>$B$10="PLN"</formula>
    </cfRule>
    <cfRule type="expression" dxfId="244" priority="206">
      <formula>$B$10="CZK"</formula>
    </cfRule>
    <cfRule type="expression" dxfId="243" priority="207">
      <formula>$B$10="USD"</formula>
    </cfRule>
  </conditionalFormatting>
  <conditionalFormatting sqref="J14:K41 J44:K56">
    <cfRule type="cellIs" dxfId="242" priority="4" operator="greaterThan">
      <formula>0</formula>
    </cfRule>
  </conditionalFormatting>
  <dataValidations count="1">
    <dataValidation type="list" allowBlank="1" showInputMessage="1" showErrorMessage="1" sqref="F12:F13" xr:uid="{00000000-0002-0000-A300-000000000000}">
      <formula1>$B$30:$B$35</formula1>
    </dataValidation>
  </dataValidations>
  <printOptions horizontalCentered="1"/>
  <pageMargins left="0.78740157480314965" right="0.35433070866141742" top="0.55118110236220474" bottom="0.39370078740157483" header="0.31496062992125978" footer="0.11811023622047249"/>
  <pageSetup paperSize="9" scale="46" orientation="portrait"/>
  <headerFooter alignWithMargins="0">
    <oddFooter>&amp;L&amp;Z&amp;F</oddFooter>
  </headerFooter>
  <drawing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sheetPr>
    <tabColor theme="8" tint="0.79998168889431442"/>
    <pageSetUpPr fitToPage="1"/>
  </sheetPr>
  <dimension ref="B1:AI203"/>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5" style="56" customWidth="1"/>
    <col min="10" max="10" width="9.6640625" style="281" hidden="1" customWidth="1"/>
    <col min="11" max="11" width="17" style="281" customWidth="1"/>
    <col min="12" max="12" width="13.1640625" style="281" bestFit="1" customWidth="1"/>
    <col min="13" max="13" width="15.33203125" style="55" customWidth="1"/>
    <col min="14" max="14" width="2.33203125" style="55" customWidth="1"/>
    <col min="15" max="15" width="12.5" style="55" customWidth="1"/>
    <col min="16" max="236" width="9.1640625" style="55" customWidth="1"/>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ustomWidth="1"/>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ustomWidth="1"/>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ustomWidth="1"/>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ustomWidth="1"/>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ustomWidth="1"/>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ustomWidth="1"/>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ustomWidth="1"/>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ustomWidth="1"/>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ustomWidth="1"/>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ustomWidth="1"/>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ustomWidth="1"/>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ustomWidth="1"/>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ustomWidth="1"/>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ustomWidth="1"/>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ustomWidth="1"/>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ustomWidth="1"/>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ustomWidth="1"/>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ustomWidth="1"/>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ustomWidth="1"/>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ustomWidth="1"/>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ustomWidth="1"/>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ustomWidth="1"/>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ustomWidth="1"/>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ustomWidth="1"/>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ustomWidth="1"/>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ustomWidth="1"/>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ustomWidth="1"/>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ustomWidth="1"/>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ustomWidth="1"/>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ustomWidth="1"/>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ustomWidth="1"/>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ustomWidth="1"/>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ustomWidth="1"/>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ustomWidth="1"/>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ustomWidth="1"/>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ustomWidth="1"/>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ustomWidth="1"/>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ustomWidth="1"/>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ustomWidth="1"/>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ustomWidth="1"/>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ustomWidth="1"/>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ustomWidth="1"/>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ustomWidth="1"/>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ustomWidth="1"/>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ustomWidth="1"/>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ustomWidth="1"/>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ustomWidth="1"/>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ustomWidth="1"/>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ustomWidth="1"/>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ustomWidth="1"/>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ustomWidth="1"/>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ustomWidth="1"/>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ustomWidth="1"/>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ustomWidth="1"/>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ustomWidth="1"/>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ustomWidth="1"/>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ustomWidth="1"/>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ustomWidth="1"/>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ustomWidth="1"/>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ustomWidth="1"/>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ustomWidth="1"/>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ustomWidth="1"/>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ustomWidth="1"/>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ustomWidth="1"/>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ustomWidth="1"/>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ustomWidth="1"/>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ustomWidth="1"/>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ustomWidth="1"/>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ustomWidth="1"/>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ustomWidth="1"/>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ustomWidth="1"/>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ustomWidth="1"/>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ustomWidth="1"/>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ustomWidth="1"/>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ustomWidth="1"/>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ustomWidth="1"/>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ustomWidth="1"/>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ustomWidth="1"/>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ustomWidth="1"/>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ustomWidth="1"/>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ustomWidth="1"/>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ustomWidth="1"/>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ustomWidth="1"/>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ustomWidth="1"/>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ustomWidth="1"/>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ustomWidth="1"/>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ustomWidth="1"/>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ustomWidth="1"/>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ustomWidth="1"/>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ustomWidth="1"/>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ustomWidth="1"/>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ustomWidth="1"/>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ustomWidth="1"/>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ustomWidth="1"/>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ustomWidth="1"/>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ustomWidth="1"/>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ustomWidth="1"/>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ustomWidth="1"/>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ustomWidth="1"/>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ustomWidth="1"/>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ustomWidth="1"/>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ustomWidth="1"/>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ustomWidth="1"/>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ustomWidth="1"/>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ustomWidth="1"/>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ustomWidth="1"/>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ustomWidth="1"/>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ustomWidth="1"/>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ustomWidth="1"/>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ustomWidth="1"/>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ustomWidth="1"/>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ustomWidth="1"/>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ustomWidth="1"/>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ustomWidth="1"/>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ustomWidth="1"/>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ustomWidth="1"/>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ustomWidth="1"/>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ustomWidth="1"/>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ustomWidth="1"/>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ustomWidth="1"/>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ustomWidth="1"/>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ustomWidth="1"/>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ustomWidth="1"/>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ustomWidth="1"/>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ustomWidth="1"/>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ustomWidth="1"/>
  </cols>
  <sheetData>
    <row r="1" spans="2:35" s="40" customFormat="1" ht="15" customHeight="1" x14ac:dyDescent="0.15">
      <c r="B1" s="988" t="s">
        <v>574</v>
      </c>
      <c r="C1" s="990"/>
      <c r="D1" s="125"/>
      <c r="E1" s="126"/>
      <c r="F1" s="127"/>
      <c r="G1" s="275"/>
      <c r="H1" s="275"/>
      <c r="I1" s="276"/>
      <c r="J1" s="275"/>
      <c r="K1" s="275"/>
      <c r="L1" s="853" t="s">
        <v>48</v>
      </c>
      <c r="R1" s="41"/>
      <c r="S1" s="42"/>
      <c r="Z1" s="43"/>
      <c r="AC1" s="44"/>
    </row>
    <row r="2" spans="2:35" s="40" customFormat="1" ht="15" customHeight="1" x14ac:dyDescent="0.15">
      <c r="C2" s="225"/>
      <c r="D2" s="45"/>
      <c r="E2" s="46"/>
      <c r="F2" s="47"/>
      <c r="G2" s="277"/>
      <c r="H2" s="278"/>
      <c r="I2" s="51"/>
      <c r="J2" s="279"/>
      <c r="K2" s="279"/>
      <c r="L2" s="278"/>
      <c r="R2" s="48"/>
      <c r="W2" s="49"/>
      <c r="Y2" s="43"/>
      <c r="AB2" s="44"/>
    </row>
    <row r="3" spans="2:35" s="40" customFormat="1" ht="15" customHeight="1" x14ac:dyDescent="0.2">
      <c r="B3" s="50" t="s">
        <v>2</v>
      </c>
      <c r="C3" s="938" t="e">
        <f>IF([17]CANOPY!C3="","",[17]CANOPY!C3)</f>
        <v>#REF!</v>
      </c>
      <c r="D3" s="990"/>
      <c r="E3" s="129"/>
      <c r="F3" s="132" t="s">
        <v>4</v>
      </c>
      <c r="G3" s="938" t="e">
        <f>IF([17]CANOPY!G3="","",[17]CANOPY!G3)</f>
        <v>#REF!</v>
      </c>
      <c r="H3" s="990"/>
      <c r="I3" s="51"/>
      <c r="J3" s="279"/>
      <c r="K3" s="279"/>
      <c r="L3" s="278"/>
      <c r="R3" s="48"/>
      <c r="Y3" s="43"/>
      <c r="AB3" s="44"/>
    </row>
    <row r="4" spans="2:35" s="40" customFormat="1" ht="15" customHeight="1" x14ac:dyDescent="0.2">
      <c r="C4" s="385"/>
      <c r="D4" s="386"/>
      <c r="E4" s="133"/>
      <c r="F4" s="134"/>
      <c r="G4" s="385"/>
      <c r="H4" s="385"/>
      <c r="I4" s="51"/>
      <c r="J4" s="279"/>
      <c r="K4" s="279"/>
      <c r="L4" s="278"/>
      <c r="R4" s="48"/>
      <c r="Y4" s="43"/>
      <c r="AB4" s="44"/>
    </row>
    <row r="5" spans="2:35" s="40" customFormat="1" ht="15" customHeight="1" x14ac:dyDescent="0.2">
      <c r="B5" s="50" t="s">
        <v>6</v>
      </c>
      <c r="C5" s="986" t="e">
        <f>IF([17]CANOPY!C5="","",[17]CANOPY!C5)</f>
        <v>#REF!</v>
      </c>
      <c r="D5" s="990"/>
      <c r="E5" s="131"/>
      <c r="F5" s="132" t="s">
        <v>8</v>
      </c>
      <c r="G5" s="938" t="e">
        <f>IF([17]CANOPY!G5="","",[17]CANOPY!G5)</f>
        <v>#REF!</v>
      </c>
      <c r="H5" s="990"/>
      <c r="I5" s="51"/>
      <c r="J5" s="279"/>
      <c r="K5" s="279"/>
      <c r="L5" s="278"/>
      <c r="O5" s="52"/>
      <c r="P5" s="52"/>
      <c r="R5" s="48"/>
      <c r="S5" s="49"/>
      <c r="Y5" s="43"/>
      <c r="AB5" s="44"/>
    </row>
    <row r="6" spans="2:35" s="40" customFormat="1" ht="15" customHeight="1" x14ac:dyDescent="0.2">
      <c r="B6" s="50"/>
      <c r="C6" s="240"/>
      <c r="D6" s="385"/>
      <c r="E6" s="135"/>
      <c r="F6" s="134"/>
      <c r="G6" s="385"/>
      <c r="H6" s="385"/>
      <c r="I6" s="51"/>
      <c r="J6" s="279"/>
      <c r="K6" s="279"/>
      <c r="L6" s="278"/>
      <c r="O6" s="52"/>
      <c r="P6" s="52"/>
      <c r="R6" s="48"/>
      <c r="S6" s="49"/>
      <c r="Y6" s="53"/>
      <c r="AB6" s="44"/>
    </row>
    <row r="7" spans="2:35" s="40" customFormat="1" ht="15" customHeight="1" x14ac:dyDescent="0.2">
      <c r="B7" s="75" t="s">
        <v>10</v>
      </c>
      <c r="C7" s="986" t="e">
        <f>IF([17]CANOPY!C7="","",[17]CANOPY!C7)</f>
        <v>#REF!</v>
      </c>
      <c r="D7" s="990"/>
      <c r="E7" s="135"/>
      <c r="F7" s="136" t="s">
        <v>12</v>
      </c>
      <c r="G7" s="939" t="e">
        <f>IF([17]CANOPY!G7="","",[17]CANOPY!G7)</f>
        <v>#REF!</v>
      </c>
      <c r="H7" s="990"/>
      <c r="I7" s="51"/>
      <c r="J7" s="280"/>
      <c r="K7" s="280" t="s">
        <v>14</v>
      </c>
      <c r="L7" s="484" t="e">
        <f>IF([17]CANOPY!O7="","",[17]CANOPY!O7)</f>
        <v>#REF!</v>
      </c>
      <c r="M7" s="964" t="s">
        <v>51</v>
      </c>
      <c r="N7" s="990"/>
      <c r="O7" s="990"/>
      <c r="R7" s="48"/>
      <c r="S7" s="49"/>
      <c r="Y7" s="53"/>
      <c r="AB7" s="44"/>
    </row>
    <row r="8" spans="2:35" s="40" customFormat="1" ht="15" customHeight="1" x14ac:dyDescent="0.15">
      <c r="C8" s="51"/>
      <c r="D8" s="51"/>
      <c r="E8" s="43"/>
      <c r="F8" s="47"/>
      <c r="G8" s="279"/>
      <c r="H8" s="278"/>
      <c r="I8" s="51"/>
      <c r="J8" s="279"/>
      <c r="K8" s="279"/>
      <c r="L8" s="278"/>
      <c r="R8" s="48"/>
      <c r="Y8" s="53"/>
      <c r="AB8" s="44"/>
    </row>
    <row r="9" spans="2:35" s="40" customFormat="1" ht="15" customHeight="1" x14ac:dyDescent="0.15">
      <c r="B9" s="38" t="s">
        <v>15</v>
      </c>
      <c r="C9" s="831">
        <v>0</v>
      </c>
      <c r="D9" s="294">
        <f>IF(C9=0,0,(SUBTOTAL(9,J15:J61)/(1-C9))-J9)</f>
        <v>0</v>
      </c>
      <c r="E9" s="124"/>
      <c r="F9" s="124"/>
      <c r="H9" s="25">
        <f>SUBTOTAL(9,H11:H61)</f>
        <v>1418</v>
      </c>
      <c r="I9" s="845">
        <f>IF(L9=0,"-",L9/J9)</f>
        <v>0.33460866955151458</v>
      </c>
      <c r="J9" s="25">
        <f>SUBTOTAL(9,J11:J61)</f>
        <v>2131.0767590618339</v>
      </c>
      <c r="K9" s="381">
        <f>SUBTOTAL(9,K11:K61)</f>
        <v>2131.0767590618339</v>
      </c>
      <c r="L9" s="25">
        <f>SUBTOTAL(9,L11:L61)</f>
        <v>713.07675906183385</v>
      </c>
      <c r="T9" s="48"/>
      <c r="W9" s="48"/>
      <c r="Z9" s="48"/>
      <c r="AI9" s="48"/>
    </row>
    <row r="10" spans="2:35" s="40" customFormat="1" ht="15" customHeight="1" x14ac:dyDescent="0.15">
      <c r="B10" s="236" t="s">
        <v>15</v>
      </c>
      <c r="C10" s="236" t="s">
        <v>16</v>
      </c>
      <c r="D10" s="236" t="s">
        <v>17</v>
      </c>
      <c r="E10" s="2"/>
      <c r="F10" s="2"/>
      <c r="G10" s="1" t="s">
        <v>52</v>
      </c>
      <c r="H10" s="2" t="s">
        <v>18</v>
      </c>
      <c r="I10" s="3" t="s">
        <v>19</v>
      </c>
      <c r="J10" s="4" t="s">
        <v>20</v>
      </c>
      <c r="K10" s="4" t="s">
        <v>21</v>
      </c>
      <c r="L10" s="5" t="s">
        <v>22</v>
      </c>
      <c r="Q10" s="490"/>
      <c r="T10" s="48"/>
      <c r="W10" s="48"/>
      <c r="Z10" s="48"/>
      <c r="AI10" s="48"/>
    </row>
    <row r="11" spans="2:35" ht="15" customHeight="1" x14ac:dyDescent="0.15">
      <c r="D11" s="55"/>
    </row>
    <row r="12" spans="2:35" ht="15" customHeight="1" x14ac:dyDescent="0.15">
      <c r="B12" s="56" t="s">
        <v>575</v>
      </c>
      <c r="D12" s="55"/>
      <c r="E12" s="124"/>
      <c r="F12" s="124"/>
    </row>
    <row r="13" spans="2:35" ht="15" customHeight="1" x14ac:dyDescent="0.15">
      <c r="B13" s="406" t="s">
        <v>576</v>
      </c>
      <c r="C13" s="38" t="s">
        <v>577</v>
      </c>
      <c r="D13" s="57"/>
      <c r="E13" s="307" t="s">
        <v>19</v>
      </c>
      <c r="F13" s="308">
        <v>0.4</v>
      </c>
      <c r="G13" s="58"/>
      <c r="H13" s="58">
        <f>SUBTOTAL(9,H15:H49)</f>
        <v>50</v>
      </c>
      <c r="I13" s="39">
        <f>IF(H13=0,"-",L13/J13)</f>
        <v>0.43999999999999995</v>
      </c>
      <c r="J13" s="58">
        <f>SUBTOTAL(9,J15:J49)</f>
        <v>89.285714285714278</v>
      </c>
      <c r="K13" s="382">
        <f>SUBTOTAL(9,K15:K49)</f>
        <v>89.285714285714278</v>
      </c>
      <c r="L13" s="58">
        <f>SUBTOTAL(9,L15:L49)</f>
        <v>39.285714285714278</v>
      </c>
    </row>
    <row r="14" spans="2:35" ht="15" customHeight="1" x14ac:dyDescent="0.15">
      <c r="B14" s="35" t="s">
        <v>333</v>
      </c>
      <c r="C14" s="54" t="s">
        <v>479</v>
      </c>
      <c r="D14" s="54" t="s">
        <v>478</v>
      </c>
      <c r="E14" s="181"/>
      <c r="F14" s="182"/>
      <c r="G14" s="183"/>
      <c r="H14" s="183"/>
      <c r="I14" s="184"/>
      <c r="J14" s="183"/>
      <c r="K14" s="183"/>
      <c r="L14" s="183"/>
    </row>
    <row r="15" spans="2:35" ht="15" customHeight="1" x14ac:dyDescent="0.15">
      <c r="B15" s="204" t="s">
        <v>578</v>
      </c>
      <c r="C15" s="79" t="s">
        <v>374</v>
      </c>
      <c r="D15" s="82"/>
      <c r="E15" s="77"/>
      <c r="F15" s="77"/>
      <c r="G15" s="297">
        <f>IF(C13="external",VLOOKUP(C15,'Base Costs'!$AP$6:$AR$16,2,FALSE),VLOOKUP(C15,'Base Costs'!$AP$6:$AR$16,3,FALSE))</f>
        <v>0</v>
      </c>
      <c r="H15" s="295">
        <f t="shared" ref="H15:H22" si="0">D15*G15</f>
        <v>0</v>
      </c>
      <c r="I15" s="380">
        <v>0.44</v>
      </c>
      <c r="J15" s="234">
        <f t="shared" ref="J15:J36" si="1">H15/(1-I15)*(1+$C$9)</f>
        <v>0</v>
      </c>
      <c r="K15" s="295">
        <f>J15*VLOOKUP($B$9,'Base Costs'!$A$32:$B$37,2,FALSE)</f>
        <v>0</v>
      </c>
      <c r="L15" s="296">
        <f t="shared" ref="L15:L36" si="2">K15-H15</f>
        <v>0</v>
      </c>
    </row>
    <row r="16" spans="2:35" ht="15" customHeight="1" x14ac:dyDescent="0.15">
      <c r="B16" s="204" t="s">
        <v>579</v>
      </c>
      <c r="C16" s="79" t="s">
        <v>374</v>
      </c>
      <c r="D16" s="82"/>
      <c r="E16" s="77"/>
      <c r="F16" s="77"/>
      <c r="G16" s="297"/>
      <c r="H16" s="295">
        <f t="shared" si="0"/>
        <v>0</v>
      </c>
      <c r="I16" s="380">
        <v>0.44</v>
      </c>
      <c r="J16" s="234">
        <f t="shared" si="1"/>
        <v>0</v>
      </c>
      <c r="K16" s="295">
        <f>J16*VLOOKUP($B$9,'Base Costs'!$A$32:$B$37,2,FALSE)</f>
        <v>0</v>
      </c>
      <c r="L16" s="296">
        <f t="shared" si="2"/>
        <v>0</v>
      </c>
    </row>
    <row r="17" spans="2:15" ht="15" customHeight="1" x14ac:dyDescent="0.15">
      <c r="B17" s="204" t="s">
        <v>580</v>
      </c>
      <c r="C17" s="79" t="s">
        <v>374</v>
      </c>
      <c r="D17" s="82"/>
      <c r="E17" s="77"/>
      <c r="F17" s="77"/>
      <c r="G17" s="297"/>
      <c r="H17" s="295">
        <f t="shared" si="0"/>
        <v>0</v>
      </c>
      <c r="I17" s="380">
        <v>0.44</v>
      </c>
      <c r="J17" s="234">
        <f t="shared" si="1"/>
        <v>0</v>
      </c>
      <c r="K17" s="295">
        <f>J17*VLOOKUP($B$9,'Base Costs'!$A$32:$B$37,2,FALSE)</f>
        <v>0</v>
      </c>
      <c r="L17" s="296">
        <f t="shared" si="2"/>
        <v>0</v>
      </c>
    </row>
    <row r="18" spans="2:15" ht="15" customHeight="1" x14ac:dyDescent="0.15">
      <c r="B18" s="204" t="s">
        <v>581</v>
      </c>
      <c r="C18" s="79" t="s">
        <v>374</v>
      </c>
      <c r="D18" s="82"/>
      <c r="E18" s="77"/>
      <c r="F18" s="77"/>
      <c r="G18" s="297"/>
      <c r="H18" s="295">
        <f t="shared" si="0"/>
        <v>0</v>
      </c>
      <c r="I18" s="380">
        <v>0.44</v>
      </c>
      <c r="J18" s="234">
        <f t="shared" si="1"/>
        <v>0</v>
      </c>
      <c r="K18" s="295">
        <f>J18*VLOOKUP($B$9,'Base Costs'!$A$32:$B$37,2,FALSE)</f>
        <v>0</v>
      </c>
      <c r="L18" s="296">
        <f t="shared" si="2"/>
        <v>0</v>
      </c>
      <c r="O18" s="830"/>
    </row>
    <row r="19" spans="2:15" s="60" customFormat="1" ht="15" customHeight="1" x14ac:dyDescent="0.15">
      <c r="B19" s="204" t="s">
        <v>582</v>
      </c>
      <c r="C19" s="79" t="s">
        <v>374</v>
      </c>
      <c r="D19" s="82"/>
      <c r="E19" s="78"/>
      <c r="F19" s="78"/>
      <c r="G19" s="297"/>
      <c r="H19" s="295">
        <f t="shared" si="0"/>
        <v>0</v>
      </c>
      <c r="I19" s="380">
        <v>0.44</v>
      </c>
      <c r="J19" s="234">
        <f t="shared" si="1"/>
        <v>0</v>
      </c>
      <c r="K19" s="295">
        <f>J19*VLOOKUP($B$9,'Base Costs'!$A$32:$B$37,2,FALSE)</f>
        <v>0</v>
      </c>
      <c r="L19" s="296">
        <f t="shared" si="2"/>
        <v>0</v>
      </c>
    </row>
    <row r="20" spans="2:15" s="60" customFormat="1" ht="15" customHeight="1" x14ac:dyDescent="0.15">
      <c r="B20" s="204" t="s">
        <v>583</v>
      </c>
      <c r="C20" s="79" t="s">
        <v>374</v>
      </c>
      <c r="D20" s="82"/>
      <c r="E20" s="78"/>
      <c r="F20" s="78"/>
      <c r="G20" s="297"/>
      <c r="H20" s="295">
        <f t="shared" si="0"/>
        <v>0</v>
      </c>
      <c r="I20" s="380">
        <v>0.44</v>
      </c>
      <c r="J20" s="234">
        <f t="shared" si="1"/>
        <v>0</v>
      </c>
      <c r="K20" s="295">
        <f>J20*VLOOKUP($B$9,'Base Costs'!$A$32:$B$37,2,FALSE)</f>
        <v>0</v>
      </c>
      <c r="L20" s="296">
        <f t="shared" si="2"/>
        <v>0</v>
      </c>
    </row>
    <row r="21" spans="2:15" s="60" customFormat="1" ht="15" customHeight="1" x14ac:dyDescent="0.15">
      <c r="B21" s="204" t="s">
        <v>584</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5"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5" ht="15" customHeight="1" x14ac:dyDescent="0.15">
      <c r="B23" s="204"/>
      <c r="C23" s="83"/>
      <c r="D23" s="84"/>
      <c r="E23" s="83"/>
      <c r="F23" s="83"/>
      <c r="G23" s="297"/>
      <c r="H23" s="295"/>
      <c r="I23" s="380">
        <v>0.44</v>
      </c>
      <c r="J23" s="234">
        <f t="shared" si="1"/>
        <v>0</v>
      </c>
      <c r="K23" s="295">
        <f>J23*VLOOKUP($B$9,'Base Costs'!$A$32:$B$37,2,FALSE)</f>
        <v>0</v>
      </c>
      <c r="L23" s="296">
        <f t="shared" si="2"/>
        <v>0</v>
      </c>
    </row>
    <row r="24" spans="2:15" ht="15" customHeight="1" x14ac:dyDescent="0.15">
      <c r="B24" s="856" t="s">
        <v>586</v>
      </c>
      <c r="C24" s="887"/>
      <c r="D24" s="888">
        <v>1</v>
      </c>
      <c r="E24" s="889"/>
      <c r="F24" s="889"/>
      <c r="G24" s="871">
        <v>50</v>
      </c>
      <c r="H24" s="872">
        <f t="shared" ref="H24:H29" si="3">D24*G24</f>
        <v>50</v>
      </c>
      <c r="I24" s="890">
        <v>0.44</v>
      </c>
      <c r="J24" s="873">
        <f t="shared" si="1"/>
        <v>89.285714285714278</v>
      </c>
      <c r="K24" s="872">
        <f>J24*VLOOKUP($B$9,'Base Costs'!$A$32:$B$37,2,FALSE)</f>
        <v>89.285714285714278</v>
      </c>
      <c r="L24" s="874">
        <f t="shared" si="2"/>
        <v>39.285714285714278</v>
      </c>
      <c r="M24" s="889" t="s">
        <v>70</v>
      </c>
    </row>
    <row r="25" spans="2:15" s="60" customFormat="1" ht="15" customHeight="1" x14ac:dyDescent="0.15">
      <c r="B25" s="204" t="s">
        <v>492</v>
      </c>
      <c r="C25" s="85"/>
      <c r="D25" s="82"/>
      <c r="E25" s="68"/>
      <c r="F25" s="68"/>
      <c r="G25" s="297"/>
      <c r="H25" s="295">
        <f t="shared" si="3"/>
        <v>0</v>
      </c>
      <c r="I25" s="380">
        <v>0.44</v>
      </c>
      <c r="J25" s="234">
        <f t="shared" si="1"/>
        <v>0</v>
      </c>
      <c r="K25" s="295">
        <f>J25*VLOOKUP($B$9,'Base Costs'!$A$32:$B$37,2,FALSE)</f>
        <v>0</v>
      </c>
      <c r="L25" s="296">
        <f t="shared" si="2"/>
        <v>0</v>
      </c>
    </row>
    <row r="26" spans="2:15" s="60" customFormat="1" ht="15" customHeight="1" x14ac:dyDescent="0.15">
      <c r="B26" s="204"/>
      <c r="C26" s="87"/>
      <c r="D26" s="88">
        <v>0</v>
      </c>
      <c r="E26" s="387"/>
      <c r="F26" s="68"/>
      <c r="G26" s="297"/>
      <c r="H26" s="295">
        <f t="shared" si="3"/>
        <v>0</v>
      </c>
      <c r="I26" s="380">
        <v>0.44</v>
      </c>
      <c r="J26" s="234">
        <f t="shared" si="1"/>
        <v>0</v>
      </c>
      <c r="K26" s="295">
        <f>J26*VLOOKUP($B$9,'Base Costs'!$A$32:$B$37,2,FALSE)</f>
        <v>0</v>
      </c>
      <c r="L26" s="296">
        <f t="shared" si="2"/>
        <v>0</v>
      </c>
    </row>
    <row r="27" spans="2:15" s="60" customFormat="1" ht="15" customHeight="1" x14ac:dyDescent="0.15">
      <c r="B27" s="204" t="s">
        <v>587</v>
      </c>
      <c r="C27" s="388" t="s">
        <v>588</v>
      </c>
      <c r="D27" s="389"/>
      <c r="E27" s="78" t="s">
        <v>589</v>
      </c>
      <c r="F27" s="78"/>
      <c r="G27" s="297">
        <v>103</v>
      </c>
      <c r="H27" s="295">
        <f t="shared" si="3"/>
        <v>0</v>
      </c>
      <c r="I27" s="380">
        <v>0.44</v>
      </c>
      <c r="J27" s="234">
        <f t="shared" si="1"/>
        <v>0</v>
      </c>
      <c r="K27" s="295">
        <f>J27*VLOOKUP($B$9,'Base Costs'!$A$32:$B$37,2,FALSE)</f>
        <v>0</v>
      </c>
      <c r="L27" s="296">
        <f t="shared" si="2"/>
        <v>0</v>
      </c>
    </row>
    <row r="28" spans="2:15" s="60" customFormat="1" ht="15" customHeight="1" x14ac:dyDescent="0.15">
      <c r="B28" s="204" t="s">
        <v>587</v>
      </c>
      <c r="C28" s="390" t="s">
        <v>590</v>
      </c>
      <c r="D28" s="389"/>
      <c r="E28" s="78" t="s">
        <v>589</v>
      </c>
      <c r="F28" s="78"/>
      <c r="G28" s="297">
        <v>135</v>
      </c>
      <c r="H28" s="295">
        <f t="shared" si="3"/>
        <v>0</v>
      </c>
      <c r="I28" s="380">
        <v>0.44</v>
      </c>
      <c r="J28" s="234">
        <f t="shared" si="1"/>
        <v>0</v>
      </c>
      <c r="K28" s="295">
        <f>J28*VLOOKUP($B$9,'Base Costs'!$A$32:$B$37,2,FALSE)</f>
        <v>0</v>
      </c>
      <c r="L28" s="296">
        <f t="shared" si="2"/>
        <v>0</v>
      </c>
    </row>
    <row r="29" spans="2:15" s="60" customFormat="1" ht="15" customHeight="1" x14ac:dyDescent="0.15">
      <c r="B29" s="204"/>
      <c r="C29" s="76"/>
      <c r="D29" s="86">
        <v>0</v>
      </c>
      <c r="E29" s="78"/>
      <c r="F29" s="78"/>
      <c r="G29" s="297"/>
      <c r="H29" s="295">
        <f t="shared" si="3"/>
        <v>0</v>
      </c>
      <c r="I29" s="380">
        <v>0.44</v>
      </c>
      <c r="J29" s="234">
        <f t="shared" si="1"/>
        <v>0</v>
      </c>
      <c r="K29" s="295">
        <f>J29*VLOOKUP($B$9,'Base Costs'!$A$32:$B$37,2,FALSE)</f>
        <v>0</v>
      </c>
      <c r="L29" s="296">
        <f t="shared" si="2"/>
        <v>0</v>
      </c>
    </row>
    <row r="30" spans="2:15" s="60" customFormat="1" ht="15" hidden="1" customHeight="1" x14ac:dyDescent="0.15">
      <c r="B30" s="232"/>
      <c r="C30" s="76"/>
      <c r="D30" s="86"/>
      <c r="E30" s="78"/>
      <c r="F30" s="78"/>
      <c r="G30" s="297"/>
      <c r="H30" s="295"/>
      <c r="I30" s="380">
        <v>0.44</v>
      </c>
      <c r="J30" s="234">
        <f t="shared" si="1"/>
        <v>0</v>
      </c>
      <c r="K30" s="295">
        <f>J30*VLOOKUP($B$9,'Base Costs'!$A$32:$B$37,2,FALSE)</f>
        <v>0</v>
      </c>
      <c r="L30" s="296">
        <f t="shared" si="2"/>
        <v>0</v>
      </c>
    </row>
    <row r="31" spans="2:15" s="60" customFormat="1" ht="15" hidden="1" customHeight="1" x14ac:dyDescent="0.15">
      <c r="B31" s="232" t="s">
        <v>591</v>
      </c>
      <c r="C31" s="376"/>
      <c r="D31" s="82">
        <v>1</v>
      </c>
      <c r="E31" s="78"/>
      <c r="F31" s="78"/>
      <c r="G31" s="297">
        <f>C31</f>
        <v>0</v>
      </c>
      <c r="H31" s="295">
        <f t="shared" ref="H31:H36" si="4">D31*G31</f>
        <v>0</v>
      </c>
      <c r="I31" s="380">
        <v>0.44</v>
      </c>
      <c r="J31" s="234">
        <f t="shared" si="1"/>
        <v>0</v>
      </c>
      <c r="K31" s="295">
        <f>J31*VLOOKUP($B$9,'Base Costs'!$A$32:$B$37,2,FALSE)</f>
        <v>0</v>
      </c>
      <c r="L31" s="296">
        <f t="shared" si="2"/>
        <v>0</v>
      </c>
    </row>
    <row r="32" spans="2:15" s="60" customFormat="1" ht="15" hidden="1" customHeight="1" x14ac:dyDescent="0.15">
      <c r="B32" s="232" t="s">
        <v>592</v>
      </c>
      <c r="C32" s="376"/>
      <c r="D32" s="391">
        <v>1</v>
      </c>
      <c r="E32" s="78"/>
      <c r="F32" s="78"/>
      <c r="G32" s="297">
        <f>C32</f>
        <v>0</v>
      </c>
      <c r="H32" s="295">
        <f t="shared" si="4"/>
        <v>0</v>
      </c>
      <c r="I32" s="380">
        <v>0.44</v>
      </c>
      <c r="J32" s="234">
        <f t="shared" si="1"/>
        <v>0</v>
      </c>
      <c r="K32" s="295">
        <f>J32*VLOOKUP($B$9,'Base Costs'!$A$32:$B$37,2,FALSE)</f>
        <v>0</v>
      </c>
      <c r="L32" s="296">
        <f t="shared" si="2"/>
        <v>0</v>
      </c>
    </row>
    <row r="33" spans="2:21" s="60" customFormat="1" ht="15" customHeight="1" x14ac:dyDescent="0.15">
      <c r="B33" s="390" t="s">
        <v>593</v>
      </c>
      <c r="C33" s="392" t="s">
        <v>594</v>
      </c>
      <c r="D33" s="392"/>
      <c r="E33" s="390"/>
      <c r="F33" s="392"/>
      <c r="G33" s="297">
        <f>SUM(H15:H22)*0.25</f>
        <v>0</v>
      </c>
      <c r="H33" s="295">
        <f t="shared" si="4"/>
        <v>0</v>
      </c>
      <c r="I33" s="380">
        <v>0.44</v>
      </c>
      <c r="J33" s="234">
        <f t="shared" si="1"/>
        <v>0</v>
      </c>
      <c r="K33" s="295">
        <f>J33*VLOOKUP($B$9,'Base Costs'!$A$32:$B$37,2,FALSE)</f>
        <v>0</v>
      </c>
      <c r="L33" s="296">
        <f t="shared" si="2"/>
        <v>0</v>
      </c>
    </row>
    <row r="34" spans="2:21" s="60" customFormat="1" ht="15" customHeight="1" x14ac:dyDescent="0.15">
      <c r="B34" s="390" t="s">
        <v>595</v>
      </c>
      <c r="C34" s="392"/>
      <c r="D34" s="392"/>
      <c r="E34" s="390"/>
      <c r="F34" s="392"/>
      <c r="G34" s="297">
        <v>107</v>
      </c>
      <c r="H34" s="295">
        <f t="shared" si="4"/>
        <v>0</v>
      </c>
      <c r="I34" s="380">
        <v>0.44</v>
      </c>
      <c r="J34" s="234">
        <f t="shared" si="1"/>
        <v>0</v>
      </c>
      <c r="K34" s="295">
        <f>J34*VLOOKUP($B$9,'Base Costs'!$A$32:$B$37,2,FALSE)</f>
        <v>0</v>
      </c>
      <c r="L34" s="296">
        <f t="shared" si="2"/>
        <v>0</v>
      </c>
    </row>
    <row r="35" spans="2:21" s="60" customFormat="1" ht="15" customHeight="1" x14ac:dyDescent="0.15">
      <c r="B35" s="390" t="s">
        <v>596</v>
      </c>
      <c r="C35" s="392"/>
      <c r="D35" s="392"/>
      <c r="E35" s="390"/>
      <c r="F35" s="392"/>
      <c r="G35" s="297">
        <v>30</v>
      </c>
      <c r="H35" s="295">
        <f t="shared" si="4"/>
        <v>0</v>
      </c>
      <c r="I35" s="380">
        <v>0.44</v>
      </c>
      <c r="J35" s="234">
        <f t="shared" si="1"/>
        <v>0</v>
      </c>
      <c r="K35" s="295">
        <f>J35*VLOOKUP($B$9,'Base Costs'!$A$32:$B$37,2,FALSE)</f>
        <v>0</v>
      </c>
      <c r="L35" s="296">
        <f t="shared" si="2"/>
        <v>0</v>
      </c>
    </row>
    <row r="36" spans="2:21" s="60" customFormat="1" ht="15" customHeight="1" x14ac:dyDescent="0.15">
      <c r="B36" s="390" t="s">
        <v>597</v>
      </c>
      <c r="C36" s="390"/>
      <c r="D36" s="392"/>
      <c r="E36" s="390"/>
      <c r="F36" s="392" t="s">
        <v>598</v>
      </c>
      <c r="G36" s="297">
        <v>0</v>
      </c>
      <c r="H36" s="295">
        <f t="shared" si="4"/>
        <v>0</v>
      </c>
      <c r="I36" s="380">
        <v>0.44</v>
      </c>
      <c r="J36" s="234">
        <f t="shared" si="1"/>
        <v>0</v>
      </c>
      <c r="K36" s="295">
        <f>J36*VLOOKUP($B$9,'Base Costs'!$A$32:$B$37,2,FALSE)</f>
        <v>0</v>
      </c>
      <c r="L36" s="296">
        <f t="shared" si="2"/>
        <v>0</v>
      </c>
    </row>
    <row r="37" spans="2:21" s="60" customFormat="1" ht="15" customHeight="1" x14ac:dyDescent="0.15">
      <c r="B37" s="63"/>
      <c r="D37" s="61"/>
      <c r="E37" s="59"/>
      <c r="F37" s="393"/>
      <c r="G37" s="283"/>
      <c r="H37" s="284"/>
      <c r="I37" s="91"/>
      <c r="J37" s="284"/>
      <c r="K37" s="285"/>
      <c r="L37" s="285"/>
      <c r="O37" s="992" t="s">
        <v>599</v>
      </c>
      <c r="P37" s="991"/>
      <c r="R37" s="60" t="s">
        <v>600</v>
      </c>
      <c r="S37" s="751" t="s">
        <v>45</v>
      </c>
    </row>
    <row r="38" spans="2:21" s="60" customFormat="1" ht="15" customHeight="1" x14ac:dyDescent="0.15">
      <c r="B38" s="390" t="s">
        <v>601</v>
      </c>
      <c r="C38" s="390"/>
      <c r="D38" s="394"/>
      <c r="E38" s="395"/>
      <c r="F38" s="390"/>
      <c r="G38" s="297">
        <v>1995</v>
      </c>
      <c r="H38" s="295">
        <f t="shared" ref="H38:H49" si="5">D38*G38</f>
        <v>0</v>
      </c>
      <c r="I38" s="380">
        <v>0.35</v>
      </c>
      <c r="J38" s="234">
        <f t="shared" ref="J38:J49" si="6">H38/(1-I38)*(1+$C$9)</f>
        <v>0</v>
      </c>
      <c r="K38" s="295">
        <f>J38*VLOOKUP($B$9,'Base Costs'!$A$32:$B$37,2,FALSE)</f>
        <v>0</v>
      </c>
      <c r="L38" s="296">
        <f t="shared" ref="L38:L49" si="7">K38-H38</f>
        <v>0</v>
      </c>
      <c r="O38" s="752" t="s">
        <v>602</v>
      </c>
      <c r="P38" s="60" t="s">
        <v>603</v>
      </c>
      <c r="Q38" s="60">
        <v>96.44</v>
      </c>
      <c r="R38" s="60">
        <v>216.71</v>
      </c>
      <c r="S38" s="752">
        <f t="shared" ref="S38:S44" si="8">SUM(Q38:R38)</f>
        <v>313.14999999999998</v>
      </c>
    </row>
    <row r="39" spans="2:21" s="60" customFormat="1" ht="15" customHeight="1" x14ac:dyDescent="0.15">
      <c r="B39" s="390" t="s">
        <v>604</v>
      </c>
      <c r="C39" s="390"/>
      <c r="D39" s="396"/>
      <c r="E39" s="397"/>
      <c r="F39" s="390"/>
      <c r="G39" s="297">
        <v>1810</v>
      </c>
      <c r="H39" s="295">
        <f t="shared" si="5"/>
        <v>0</v>
      </c>
      <c r="I39" s="380">
        <v>0.35</v>
      </c>
      <c r="J39" s="234">
        <f t="shared" si="6"/>
        <v>0</v>
      </c>
      <c r="K39" s="295">
        <f>J39*VLOOKUP($B$9,'Base Costs'!$A$32:$B$37,2,FALSE)</f>
        <v>0</v>
      </c>
      <c r="L39" s="296">
        <f t="shared" si="7"/>
        <v>0</v>
      </c>
      <c r="O39" s="752" t="s">
        <v>605</v>
      </c>
      <c r="P39" s="60" t="s">
        <v>603</v>
      </c>
      <c r="Q39" s="60">
        <v>75.59</v>
      </c>
      <c r="R39" s="60">
        <v>216.71</v>
      </c>
      <c r="S39" s="752">
        <f t="shared" si="8"/>
        <v>292.3</v>
      </c>
    </row>
    <row r="40" spans="2:21" s="60" customFormat="1" ht="15" customHeight="1" x14ac:dyDescent="0.15">
      <c r="B40" s="390"/>
      <c r="C40" s="390"/>
      <c r="D40" s="398"/>
      <c r="E40" s="397"/>
      <c r="F40" s="755"/>
      <c r="G40" s="701"/>
      <c r="H40" s="295">
        <f t="shared" si="5"/>
        <v>0</v>
      </c>
      <c r="I40" s="380">
        <v>0</v>
      </c>
      <c r="J40" s="234">
        <f t="shared" si="6"/>
        <v>0</v>
      </c>
      <c r="K40" s="295">
        <f>J40*VLOOKUP($B$9,'Base Costs'!$A$32:$B$37,2,FALSE)</f>
        <v>0</v>
      </c>
      <c r="L40" s="296">
        <f t="shared" si="7"/>
        <v>0</v>
      </c>
      <c r="O40" s="752" t="s">
        <v>606</v>
      </c>
      <c r="P40" s="60" t="s">
        <v>603</v>
      </c>
      <c r="Q40" s="60">
        <v>82.12</v>
      </c>
      <c r="R40" s="60">
        <v>216.71</v>
      </c>
      <c r="S40" s="752">
        <f t="shared" si="8"/>
        <v>298.83000000000004</v>
      </c>
      <c r="U40" s="399"/>
    </row>
    <row r="41" spans="2:21" s="60" customFormat="1" ht="15" customHeight="1" x14ac:dyDescent="0.15">
      <c r="B41" s="390"/>
      <c r="C41" s="390"/>
      <c r="D41" s="398"/>
      <c r="E41" s="397"/>
      <c r="F41" s="772"/>
      <c r="G41" s="701"/>
      <c r="H41" s="295">
        <f t="shared" si="5"/>
        <v>0</v>
      </c>
      <c r="I41" s="380">
        <v>0</v>
      </c>
      <c r="J41" s="234">
        <f t="shared" si="6"/>
        <v>0</v>
      </c>
      <c r="K41" s="295">
        <f>J41*VLOOKUP($B$9,'Base Costs'!$A$32:$B$37,2,FALSE)</f>
        <v>0</v>
      </c>
      <c r="L41" s="296">
        <f t="shared" si="7"/>
        <v>0</v>
      </c>
      <c r="O41" s="752" t="s">
        <v>607</v>
      </c>
      <c r="P41" s="60" t="s">
        <v>603</v>
      </c>
      <c r="Q41" s="60">
        <v>87.86</v>
      </c>
      <c r="R41" s="60">
        <v>216.71</v>
      </c>
      <c r="S41" s="752">
        <f t="shared" si="8"/>
        <v>304.57</v>
      </c>
    </row>
    <row r="42" spans="2:21" s="60" customFormat="1" ht="15" customHeight="1" x14ac:dyDescent="0.15">
      <c r="B42" s="390"/>
      <c r="C42" s="390"/>
      <c r="D42" s="398"/>
      <c r="E42" s="397"/>
      <c r="F42" s="755"/>
      <c r="G42" s="757"/>
      <c r="H42" s="295">
        <f t="shared" si="5"/>
        <v>0</v>
      </c>
      <c r="I42" s="380">
        <v>0</v>
      </c>
      <c r="J42" s="234">
        <f t="shared" si="6"/>
        <v>0</v>
      </c>
      <c r="K42" s="295">
        <f>J42*VLOOKUP($B$9,'Base Costs'!$A$32:$B$37,2,FALSE)</f>
        <v>0</v>
      </c>
      <c r="L42" s="296">
        <f t="shared" si="7"/>
        <v>0</v>
      </c>
      <c r="O42" s="752" t="s">
        <v>608</v>
      </c>
      <c r="P42" s="60" t="s">
        <v>603</v>
      </c>
      <c r="Q42" s="60">
        <v>154.57</v>
      </c>
      <c r="R42" s="60">
        <v>216.71</v>
      </c>
      <c r="S42" s="752">
        <f t="shared" si="8"/>
        <v>371.28</v>
      </c>
    </row>
    <row r="43" spans="2:21" s="60" customFormat="1" ht="15" customHeight="1" x14ac:dyDescent="0.15">
      <c r="B43" s="390"/>
      <c r="C43" s="390"/>
      <c r="D43" s="400"/>
      <c r="E43" s="401"/>
      <c r="F43" s="754"/>
      <c r="G43" s="701"/>
      <c r="H43" s="295">
        <f t="shared" si="5"/>
        <v>0</v>
      </c>
      <c r="I43" s="380">
        <v>0.35</v>
      </c>
      <c r="J43" s="234">
        <f t="shared" si="6"/>
        <v>0</v>
      </c>
      <c r="K43" s="295">
        <f>J43*VLOOKUP($B$9,'Base Costs'!$A$32:$B$37,2,FALSE)</f>
        <v>0</v>
      </c>
      <c r="L43" s="296">
        <f t="shared" si="7"/>
        <v>0</v>
      </c>
      <c r="O43" s="752" t="s">
        <v>609</v>
      </c>
      <c r="P43" s="60" t="s">
        <v>610</v>
      </c>
      <c r="Q43" s="60">
        <v>384.14</v>
      </c>
      <c r="R43" s="60">
        <v>216.71</v>
      </c>
      <c r="S43" s="752">
        <f t="shared" si="8"/>
        <v>600.85</v>
      </c>
    </row>
    <row r="44" spans="2:21" s="60" customFormat="1" ht="15" customHeight="1" x14ac:dyDescent="0.15">
      <c r="B44" s="390" t="s">
        <v>611</v>
      </c>
      <c r="C44" s="390"/>
      <c r="D44" s="396"/>
      <c r="E44" s="397"/>
      <c r="F44" s="755"/>
      <c r="G44" s="701">
        <v>110</v>
      </c>
      <c r="H44" s="403">
        <f t="shared" si="5"/>
        <v>0</v>
      </c>
      <c r="I44" s="380">
        <v>0.35</v>
      </c>
      <c r="J44" s="234">
        <f t="shared" si="6"/>
        <v>0</v>
      </c>
      <c r="K44" s="295">
        <f>J44*VLOOKUP($B$9,'Base Costs'!$A$32:$B$37,2,FALSE)</f>
        <v>0</v>
      </c>
      <c r="L44" s="296">
        <f t="shared" si="7"/>
        <v>0</v>
      </c>
      <c r="O44" s="752" t="s">
        <v>612</v>
      </c>
      <c r="P44" s="60" t="s">
        <v>610</v>
      </c>
      <c r="Q44" s="60">
        <v>421.21</v>
      </c>
      <c r="R44" s="60">
        <v>216.71</v>
      </c>
      <c r="S44" s="752">
        <f t="shared" si="8"/>
        <v>637.91999999999996</v>
      </c>
    </row>
    <row r="45" spans="2:21" s="60" customFormat="1" ht="15" customHeight="1" x14ac:dyDescent="0.15">
      <c r="B45" s="802" t="s">
        <v>613</v>
      </c>
      <c r="C45" s="803" t="s">
        <v>614</v>
      </c>
      <c r="D45" s="758"/>
      <c r="E45" s="397"/>
      <c r="F45" s="756"/>
      <c r="G45" s="701">
        <v>100</v>
      </c>
      <c r="H45" s="403">
        <f t="shared" si="5"/>
        <v>0</v>
      </c>
      <c r="I45" s="380">
        <v>0</v>
      </c>
      <c r="J45" s="234">
        <f t="shared" si="6"/>
        <v>0</v>
      </c>
      <c r="K45" s="295">
        <f>J45*VLOOKUP($B$9,'Base Costs'!$A$32:$B$37,2,FALSE)</f>
        <v>0</v>
      </c>
      <c r="L45" s="296">
        <f t="shared" si="7"/>
        <v>0</v>
      </c>
    </row>
    <row r="46" spans="2:21" s="60" customFormat="1" ht="15" customHeight="1" x14ac:dyDescent="0.15">
      <c r="B46" s="702" t="s">
        <v>615</v>
      </c>
      <c r="C46" s="390" t="s">
        <v>616</v>
      </c>
      <c r="D46" s="396"/>
      <c r="E46" s="397"/>
      <c r="F46" s="755" t="s">
        <v>617</v>
      </c>
      <c r="G46" s="701">
        <v>100</v>
      </c>
      <c r="H46" s="403">
        <f t="shared" si="5"/>
        <v>0</v>
      </c>
      <c r="I46" s="380">
        <v>0.35</v>
      </c>
      <c r="J46" s="234">
        <f t="shared" si="6"/>
        <v>0</v>
      </c>
      <c r="K46" s="295">
        <f>J46*VLOOKUP($B$9,'Base Costs'!$A$32:$B$37,2,FALSE)</f>
        <v>0</v>
      </c>
      <c r="L46" s="296">
        <f t="shared" si="7"/>
        <v>0</v>
      </c>
      <c r="O46" s="60" t="s">
        <v>618</v>
      </c>
      <c r="P46" s="60" t="s">
        <v>619</v>
      </c>
      <c r="Q46" s="60">
        <v>57</v>
      </c>
    </row>
    <row r="47" spans="2:21" s="60" customFormat="1" ht="15" customHeight="1" x14ac:dyDescent="0.15">
      <c r="B47" s="702" t="s">
        <v>620</v>
      </c>
      <c r="C47" s="390"/>
      <c r="D47" s="396"/>
      <c r="E47" s="397"/>
      <c r="F47" s="754"/>
      <c r="G47" s="701">
        <v>0</v>
      </c>
      <c r="H47" s="403">
        <f t="shared" si="5"/>
        <v>0</v>
      </c>
      <c r="I47" s="380">
        <v>0.35</v>
      </c>
      <c r="J47" s="234">
        <f t="shared" si="6"/>
        <v>0</v>
      </c>
      <c r="K47" s="295">
        <f>J47*VLOOKUP($B$9,'Base Costs'!$A$32:$B$37,2,FALSE)</f>
        <v>0</v>
      </c>
      <c r="L47" s="296">
        <f t="shared" si="7"/>
        <v>0</v>
      </c>
      <c r="O47" s="60" t="s">
        <v>621</v>
      </c>
      <c r="P47" s="60" t="s">
        <v>619</v>
      </c>
      <c r="Q47" s="60">
        <v>57</v>
      </c>
    </row>
    <row r="48" spans="2:21" s="60" customFormat="1" ht="15" customHeight="1" x14ac:dyDescent="0.2">
      <c r="B48" s="224" t="s">
        <v>622</v>
      </c>
      <c r="C48" s="753" t="s">
        <v>623</v>
      </c>
      <c r="D48" s="396"/>
      <c r="E48" s="397"/>
      <c r="F48" s="756"/>
      <c r="G48" s="701">
        <v>57</v>
      </c>
      <c r="H48" s="403">
        <f t="shared" si="5"/>
        <v>0</v>
      </c>
      <c r="I48" s="380">
        <v>0.35</v>
      </c>
      <c r="J48" s="234">
        <f t="shared" si="6"/>
        <v>0</v>
      </c>
      <c r="K48" s="295">
        <f>J48*VLOOKUP($B$9,'Base Costs'!$A$32:$B$37,2,FALSE)</f>
        <v>0</v>
      </c>
      <c r="L48" s="296">
        <f t="shared" si="7"/>
        <v>0</v>
      </c>
      <c r="O48" s="60" t="s">
        <v>624</v>
      </c>
      <c r="P48" s="60" t="s">
        <v>619</v>
      </c>
      <c r="Q48" s="60">
        <v>57</v>
      </c>
    </row>
    <row r="49" spans="2:17" s="60" customFormat="1" ht="15" customHeight="1" x14ac:dyDescent="0.2">
      <c r="B49" s="224" t="s">
        <v>625</v>
      </c>
      <c r="C49" s="753" t="s">
        <v>626</v>
      </c>
      <c r="D49" s="396"/>
      <c r="E49" s="397"/>
      <c r="F49" s="756"/>
      <c r="G49" s="701">
        <v>65</v>
      </c>
      <c r="H49" s="403">
        <f t="shared" si="5"/>
        <v>0</v>
      </c>
      <c r="I49" s="380">
        <v>0.35</v>
      </c>
      <c r="J49" s="234">
        <f t="shared" si="6"/>
        <v>0</v>
      </c>
      <c r="K49" s="295">
        <f>J49*VLOOKUP($B$9,'Base Costs'!$A$32:$B$37,2,FALSE)</f>
        <v>0</v>
      </c>
      <c r="L49" s="296">
        <f t="shared" si="7"/>
        <v>0</v>
      </c>
      <c r="O49" s="60" t="s">
        <v>627</v>
      </c>
      <c r="P49" s="60" t="s">
        <v>628</v>
      </c>
      <c r="Q49" s="60">
        <v>57</v>
      </c>
    </row>
    <row r="50" spans="2:17" s="60" customFormat="1" ht="15" customHeight="1" x14ac:dyDescent="0.15">
      <c r="B50" s="64"/>
      <c r="C50" s="64"/>
      <c r="D50" s="65"/>
      <c r="E50" s="66"/>
      <c r="F50" s="67"/>
      <c r="G50" s="286"/>
      <c r="H50" s="404"/>
      <c r="I50" s="56"/>
      <c r="J50" s="281"/>
      <c r="K50" s="404"/>
      <c r="L50" s="281"/>
      <c r="O50" s="60" t="s">
        <v>629</v>
      </c>
      <c r="P50" s="60" t="s">
        <v>628</v>
      </c>
      <c r="Q50" s="60">
        <v>57</v>
      </c>
    </row>
    <row r="51" spans="2:17" s="60" customFormat="1" ht="15" customHeight="1" x14ac:dyDescent="0.15">
      <c r="B51" s="80" t="s">
        <v>559</v>
      </c>
      <c r="C51" s="80"/>
      <c r="D51" s="81"/>
      <c r="E51" s="80"/>
      <c r="F51" s="80"/>
      <c r="G51" s="58"/>
      <c r="H51" s="123">
        <f>SUBTOTAL(9,H52:H61)</f>
        <v>1368</v>
      </c>
      <c r="I51" s="15">
        <f>IF(H51=0,"-",L51/J51)</f>
        <v>0.33</v>
      </c>
      <c r="J51" s="123">
        <f>SUBTOTAL(9,J52:J62)</f>
        <v>2041.7910447761196</v>
      </c>
      <c r="K51" s="383">
        <f>SUBTOTAL(9,K52:K61)</f>
        <v>2041.7910447761196</v>
      </c>
      <c r="L51" s="123">
        <f>SUBTOTAL(9,L52:L61)</f>
        <v>673.79104477611952</v>
      </c>
      <c r="O51" s="60" t="s">
        <v>618</v>
      </c>
      <c r="P51" s="60" t="s">
        <v>628</v>
      </c>
      <c r="Q51" s="60">
        <v>57</v>
      </c>
    </row>
    <row r="52" spans="2:17" s="60" customFormat="1" ht="15" customHeight="1" x14ac:dyDescent="0.15">
      <c r="B52" s="232" t="s">
        <v>630</v>
      </c>
      <c r="C52" s="90"/>
      <c r="D52" s="224" t="s">
        <v>95</v>
      </c>
      <c r="E52" s="518" t="s">
        <v>631</v>
      </c>
      <c r="F52" s="519"/>
      <c r="G52" s="297">
        <v>900</v>
      </c>
      <c r="H52" s="295">
        <f t="shared" ref="H52:H61" si="9">C52*G52</f>
        <v>0</v>
      </c>
      <c r="I52" s="405">
        <v>0.33</v>
      </c>
      <c r="J52" s="234">
        <f t="shared" ref="J52:J61" si="10">H52/(1-I52)*(1+$C$9)</f>
        <v>0</v>
      </c>
      <c r="K52" s="295">
        <f>J52*VLOOKUP($B$9,'Base Costs'!$A$32:$B$37,2,FALSE)</f>
        <v>0</v>
      </c>
      <c r="L52" s="296">
        <f t="shared" ref="L52:L61" si="11">J52-H52</f>
        <v>0</v>
      </c>
      <c r="O52" s="60" t="s">
        <v>632</v>
      </c>
      <c r="P52" s="60" t="s">
        <v>628</v>
      </c>
      <c r="Q52" s="60">
        <v>65</v>
      </c>
    </row>
    <row r="53" spans="2:17" s="60" customFormat="1" ht="15" customHeight="1" x14ac:dyDescent="0.15">
      <c r="B53" s="232" t="s">
        <v>463</v>
      </c>
      <c r="C53" s="90"/>
      <c r="D53" s="224" t="s">
        <v>93</v>
      </c>
      <c r="E53" s="68"/>
      <c r="F53" s="68"/>
      <c r="G53" s="297">
        <v>250</v>
      </c>
      <c r="H53" s="295">
        <f t="shared" si="9"/>
        <v>0</v>
      </c>
      <c r="I53" s="405">
        <v>0.33</v>
      </c>
      <c r="J53" s="234">
        <f t="shared" si="10"/>
        <v>0</v>
      </c>
      <c r="K53" s="295">
        <f>J53*VLOOKUP($B$9,'Base Costs'!$A$32:$B$37,2,FALSE)</f>
        <v>0</v>
      </c>
      <c r="L53" s="296">
        <f t="shared" si="11"/>
        <v>0</v>
      </c>
    </row>
    <row r="54" spans="2:17" s="60" customFormat="1" ht="15" customHeight="1" x14ac:dyDescent="0.15">
      <c r="B54" s="882" t="s">
        <v>633</v>
      </c>
      <c r="C54" s="883">
        <v>1</v>
      </c>
      <c r="D54" s="884" t="s">
        <v>634</v>
      </c>
      <c r="E54" s="885"/>
      <c r="F54" s="885"/>
      <c r="G54" s="871">
        <v>160</v>
      </c>
      <c r="H54" s="872">
        <f t="shared" si="9"/>
        <v>160</v>
      </c>
      <c r="I54" s="886">
        <v>0.33</v>
      </c>
      <c r="J54" s="873">
        <f t="shared" si="10"/>
        <v>238.80597014925377</v>
      </c>
      <c r="K54" s="872">
        <f>J54*VLOOKUP($B$9,'Base Costs'!$A$32:$B$37,2,FALSE)</f>
        <v>238.80597014925377</v>
      </c>
      <c r="L54" s="874">
        <f t="shared" si="11"/>
        <v>78.805970149253767</v>
      </c>
      <c r="M54" s="885" t="s">
        <v>70</v>
      </c>
    </row>
    <row r="55" spans="2:17" s="60" customFormat="1" ht="15" customHeight="1" x14ac:dyDescent="0.15">
      <c r="B55" s="28" t="s">
        <v>100</v>
      </c>
      <c r="C55" s="90"/>
      <c r="D55" s="28" t="s">
        <v>635</v>
      </c>
      <c r="E55" s="68"/>
      <c r="F55" s="68"/>
      <c r="G55" s="297">
        <v>610</v>
      </c>
      <c r="H55" s="295">
        <f t="shared" si="9"/>
        <v>0</v>
      </c>
      <c r="I55" s="405">
        <v>0.4</v>
      </c>
      <c r="J55" s="234">
        <f t="shared" si="10"/>
        <v>0</v>
      </c>
      <c r="K55" s="295">
        <f>J55*VLOOKUP($B$9,'Base Costs'!$A$32:$B$37,2,FALSE)</f>
        <v>0</v>
      </c>
      <c r="L55" s="296">
        <f t="shared" si="11"/>
        <v>0</v>
      </c>
    </row>
    <row r="56" spans="2:17" s="60" customFormat="1" ht="15" customHeight="1" x14ac:dyDescent="0.15">
      <c r="B56" s="28" t="s">
        <v>102</v>
      </c>
      <c r="C56" s="90"/>
      <c r="D56" s="28" t="s">
        <v>635</v>
      </c>
      <c r="E56" s="68"/>
      <c r="F56" s="68"/>
      <c r="G56" s="297">
        <v>1220</v>
      </c>
      <c r="H56" s="295">
        <f t="shared" si="9"/>
        <v>0</v>
      </c>
      <c r="I56" s="405">
        <v>0.4</v>
      </c>
      <c r="J56" s="234">
        <f t="shared" si="10"/>
        <v>0</v>
      </c>
      <c r="K56" s="295">
        <f>J56*VLOOKUP($B$9,'Base Costs'!$A$32:$B$37,2,FALSE)</f>
        <v>0</v>
      </c>
      <c r="L56" s="296">
        <f t="shared" si="11"/>
        <v>0</v>
      </c>
    </row>
    <row r="57" spans="2:17" s="60" customFormat="1" ht="15" customHeight="1" x14ac:dyDescent="0.15">
      <c r="B57" s="28" t="s">
        <v>467</v>
      </c>
      <c r="C57" s="90"/>
      <c r="D57" s="28" t="s">
        <v>106</v>
      </c>
      <c r="E57" s="68"/>
      <c r="F57" s="68"/>
      <c r="G57" s="297">
        <v>220</v>
      </c>
      <c r="H57" s="295">
        <f t="shared" si="9"/>
        <v>0</v>
      </c>
      <c r="I57" s="405">
        <v>0.33</v>
      </c>
      <c r="J57" s="234">
        <f t="shared" si="10"/>
        <v>0</v>
      </c>
      <c r="K57" s="295">
        <f>J57*VLOOKUP($B$9,'Base Costs'!$A$32:$B$37,2,FALSE)</f>
        <v>0</v>
      </c>
      <c r="L57" s="296">
        <f t="shared" si="11"/>
        <v>0</v>
      </c>
    </row>
    <row r="58" spans="2:17" s="60" customFormat="1" ht="15" customHeight="1" x14ac:dyDescent="0.15">
      <c r="B58" s="232" t="s">
        <v>636</v>
      </c>
      <c r="C58" s="90"/>
      <c r="D58" s="28" t="s">
        <v>106</v>
      </c>
      <c r="E58" s="68"/>
      <c r="F58" s="68"/>
      <c r="G58" s="297">
        <v>150</v>
      </c>
      <c r="H58" s="295">
        <f t="shared" si="9"/>
        <v>0</v>
      </c>
      <c r="I58" s="405">
        <v>0.33</v>
      </c>
      <c r="J58" s="234">
        <f t="shared" si="10"/>
        <v>0</v>
      </c>
      <c r="K58" s="295">
        <f>J58*VLOOKUP($B$9,'Base Costs'!$A$32:$B$37,2,FALSE)</f>
        <v>0</v>
      </c>
      <c r="L58" s="296">
        <f t="shared" si="11"/>
        <v>0</v>
      </c>
    </row>
    <row r="59" spans="2:17" s="60" customFormat="1" ht="15" customHeight="1" x14ac:dyDescent="0.15">
      <c r="B59" s="232" t="s">
        <v>465</v>
      </c>
      <c r="C59" s="90"/>
      <c r="D59" s="28" t="s">
        <v>637</v>
      </c>
      <c r="E59" s="68"/>
      <c r="F59" s="68"/>
      <c r="G59" s="297">
        <v>50</v>
      </c>
      <c r="H59" s="295">
        <f t="shared" si="9"/>
        <v>0</v>
      </c>
      <c r="I59" s="405">
        <v>0.33</v>
      </c>
      <c r="J59" s="234">
        <f t="shared" si="10"/>
        <v>0</v>
      </c>
      <c r="K59" s="295">
        <f>J59*VLOOKUP($B$9,'Base Costs'!$A$32:$B$37,2,FALSE)</f>
        <v>0</v>
      </c>
      <c r="L59" s="296">
        <f t="shared" si="11"/>
        <v>0</v>
      </c>
    </row>
    <row r="60" spans="2:17" s="60" customFormat="1" ht="15" customHeight="1" x14ac:dyDescent="0.15">
      <c r="B60" s="232" t="s">
        <v>638</v>
      </c>
      <c r="C60" s="90">
        <v>2</v>
      </c>
      <c r="D60" s="961" t="s">
        <v>639</v>
      </c>
      <c r="E60" s="991"/>
      <c r="F60" s="991"/>
      <c r="G60" s="297">
        <v>604</v>
      </c>
      <c r="H60" s="295">
        <f t="shared" si="9"/>
        <v>1208</v>
      </c>
      <c r="I60" s="405">
        <v>0.33</v>
      </c>
      <c r="J60" s="234">
        <f t="shared" si="10"/>
        <v>1802.9850746268658</v>
      </c>
      <c r="K60" s="295">
        <f>J60*VLOOKUP($B$9,'Base Costs'!$A$32:$B$37,2,FALSE)</f>
        <v>1802.9850746268658</v>
      </c>
      <c r="L60" s="296">
        <f t="shared" si="11"/>
        <v>594.98507462686575</v>
      </c>
      <c r="M60" s="885" t="s">
        <v>70</v>
      </c>
    </row>
    <row r="61" spans="2:17" s="60" customFormat="1" ht="15" customHeight="1" x14ac:dyDescent="0.15">
      <c r="B61" s="28" t="s">
        <v>640</v>
      </c>
      <c r="C61" s="185"/>
      <c r="D61" s="950" t="s">
        <v>641</v>
      </c>
      <c r="E61" s="991"/>
      <c r="F61" s="991"/>
      <c r="G61" s="297">
        <v>603</v>
      </c>
      <c r="H61" s="295">
        <f t="shared" si="9"/>
        <v>0</v>
      </c>
      <c r="I61" s="405">
        <v>0.33</v>
      </c>
      <c r="J61" s="234">
        <f t="shared" si="10"/>
        <v>0</v>
      </c>
      <c r="K61" s="295">
        <f>J61*VLOOKUP($B$9,'Base Costs'!$A$32:$B$37,2,FALSE)</f>
        <v>0</v>
      </c>
      <c r="L61" s="296">
        <f t="shared" si="11"/>
        <v>0</v>
      </c>
    </row>
    <row r="62" spans="2:17" s="60" customFormat="1" ht="15" customHeight="1" x14ac:dyDescent="0.15">
      <c r="B62" s="55"/>
      <c r="C62" s="69"/>
      <c r="D62" s="56"/>
      <c r="E62" s="55"/>
      <c r="F62" s="55"/>
      <c r="G62" s="281"/>
      <c r="H62" s="281"/>
      <c r="I62" s="56"/>
      <c r="J62" s="281"/>
      <c r="K62" s="281"/>
      <c r="L62" s="281"/>
    </row>
    <row r="63" spans="2:17" s="60" customFormat="1" ht="15" customHeight="1" x14ac:dyDescent="0.2">
      <c r="B63" s="139" t="s">
        <v>46</v>
      </c>
      <c r="C63" s="140"/>
      <c r="D63" s="141"/>
      <c r="E63" s="141"/>
      <c r="F63" s="140"/>
      <c r="G63" s="142"/>
      <c r="H63" s="140"/>
      <c r="I63" s="140"/>
      <c r="J63" s="140"/>
      <c r="K63" s="140"/>
      <c r="L63" s="140"/>
    </row>
    <row r="64" spans="2:17" s="60" customFormat="1" ht="15" customHeight="1" x14ac:dyDescent="0.2">
      <c r="B64" s="143"/>
      <c r="C64" s="144"/>
      <c r="D64" s="143"/>
      <c r="E64" s="145"/>
      <c r="F64" s="143"/>
      <c r="G64" s="149"/>
      <c r="H64" s="144"/>
      <c r="I64" s="144"/>
      <c r="J64" s="144"/>
      <c r="K64" s="146"/>
      <c r="L64" s="146"/>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9"/>
      <c r="L66" s="149"/>
    </row>
    <row r="67" spans="2:12" s="60" customFormat="1" ht="15" customHeight="1" x14ac:dyDescent="0.2">
      <c r="B67" s="143"/>
      <c r="C67" s="144"/>
      <c r="D67" s="143"/>
      <c r="E67" s="145"/>
      <c r="F67" s="143"/>
      <c r="G67" s="149"/>
      <c r="H67" s="147"/>
      <c r="I67" s="144"/>
      <c r="J67" s="144"/>
      <c r="K67" s="149"/>
      <c r="L67" s="149"/>
    </row>
    <row r="68" spans="2:12" s="60" customFormat="1" ht="15" customHeight="1" x14ac:dyDescent="0.2">
      <c r="B68" s="143"/>
      <c r="C68" s="144"/>
      <c r="D68" s="143"/>
      <c r="E68" s="143"/>
      <c r="F68" s="143"/>
      <c r="G68" s="148"/>
      <c r="H68" s="149"/>
      <c r="I68" s="144"/>
      <c r="J68" s="144"/>
      <c r="K68" s="146"/>
      <c r="L68" s="146"/>
    </row>
    <row r="69" spans="2:12" s="60" customFormat="1" ht="15" customHeight="1" x14ac:dyDescent="0.2">
      <c r="B69" s="143"/>
      <c r="C69" s="143"/>
      <c r="D69" s="143"/>
      <c r="E69" s="143"/>
      <c r="F69" s="143"/>
      <c r="G69" s="148"/>
      <c r="H69" s="149"/>
      <c r="I69" s="144"/>
      <c r="J69" s="144"/>
      <c r="K69" s="146"/>
      <c r="L69" s="146"/>
    </row>
    <row r="70" spans="2:12" s="60" customFormat="1" ht="15" customHeight="1" x14ac:dyDescent="0.15">
      <c r="B70" s="55"/>
      <c r="C70" s="69"/>
      <c r="D70" s="56"/>
      <c r="E70" s="55"/>
      <c r="F70" s="55"/>
      <c r="G70" s="281"/>
      <c r="H70" s="281"/>
      <c r="I70" s="56"/>
      <c r="J70" s="281"/>
      <c r="K70" s="281"/>
      <c r="L70" s="281"/>
    </row>
    <row r="71" spans="2:12" s="60" customFormat="1" ht="15" customHeight="1" x14ac:dyDescent="0.15">
      <c r="B71" s="70"/>
      <c r="C71" s="70"/>
      <c r="D71" s="56"/>
      <c r="E71" s="55"/>
      <c r="F71" s="55"/>
      <c r="G71" s="281"/>
      <c r="H71" s="281"/>
      <c r="I71" s="56"/>
      <c r="J71" s="281"/>
      <c r="K71" s="281"/>
      <c r="L71" s="281"/>
    </row>
    <row r="72" spans="2:12" s="60" customFormat="1" ht="15" customHeight="1" x14ac:dyDescent="0.15">
      <c r="B72" s="55"/>
      <c r="C72" s="55"/>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sheetData>
  <mergeCells count="11">
    <mergeCell ref="D61:F61"/>
    <mergeCell ref="C5:D5"/>
    <mergeCell ref="G5:H5"/>
    <mergeCell ref="M7:O7"/>
    <mergeCell ref="D60:F60"/>
    <mergeCell ref="O37:P37"/>
    <mergeCell ref="B1:C1"/>
    <mergeCell ref="C3:D3"/>
    <mergeCell ref="G3:H3"/>
    <mergeCell ref="C7:D7"/>
    <mergeCell ref="G7:H7"/>
  </mergeCells>
  <conditionalFormatting sqref="B9">
    <cfRule type="expression" dxfId="241" priority="44">
      <formula>B9="CURRENCY"</formula>
    </cfRule>
    <cfRule type="containsText" dxfId="240" priority="43" operator="containsText" text="SELECT">
      <formula>NOT(ISERROR(SEARCH("SELECT",B9)))</formula>
    </cfRule>
  </conditionalFormatting>
  <conditionalFormatting sqref="B15:B29">
    <cfRule type="expression" dxfId="239" priority="15">
      <formula>$D15&gt;0</formula>
    </cfRule>
  </conditionalFormatting>
  <conditionalFormatting sqref="B49 E49:F49">
    <cfRule type="expression" dxfId="238" priority="68">
      <formula>C40="select controls"</formula>
    </cfRule>
  </conditionalFormatting>
  <conditionalFormatting sqref="C13">
    <cfRule type="containsText" dxfId="237" priority="48" operator="containsText" text="SELECT">
      <formula>NOT(ISERROR(SEARCH("SELECT",C13)))</formula>
    </cfRule>
  </conditionalFormatting>
  <conditionalFormatting sqref="C15:C22">
    <cfRule type="containsText" dxfId="236" priority="26" operator="containsText" text="SIZE">
      <formula>NOT(ISERROR(SEARCH("SIZE",C15)))</formula>
    </cfRule>
  </conditionalFormatting>
  <conditionalFormatting sqref="C25">
    <cfRule type="containsText" dxfId="235" priority="56" operator="containsText" text="SELECT CONTROLS">
      <formula>NOT(ISERROR(SEARCH("SELECT CONTROLS",C25)))</formula>
    </cfRule>
  </conditionalFormatting>
  <conditionalFormatting sqref="C26">
    <cfRule type="expression" dxfId="234" priority="51">
      <formula>$C$25="SMARTEC"</formula>
    </cfRule>
    <cfRule type="containsText" dxfId="233" priority="50" operator="containsText" text="st/st">
      <formula>NOT(ISERROR(SEARCH("st/st",C26)))</formula>
    </cfRule>
  </conditionalFormatting>
  <conditionalFormatting sqref="C31:C32">
    <cfRule type="cellIs" dxfId="232" priority="32" operator="greaterThan">
      <formula>0</formula>
    </cfRule>
  </conditionalFormatting>
  <conditionalFormatting sqref="C52:C61">
    <cfRule type="cellIs" dxfId="231" priority="46" operator="lessThan">
      <formula>1</formula>
    </cfRule>
  </conditionalFormatting>
  <conditionalFormatting sqref="C9:D9">
    <cfRule type="cellIs" dxfId="230" priority="39" operator="lessThan">
      <formula>0</formula>
    </cfRule>
    <cfRule type="cellIs" dxfId="229" priority="40" operator="greaterThan">
      <formula>0</formula>
    </cfRule>
  </conditionalFormatting>
  <conditionalFormatting sqref="C29:D29">
    <cfRule type="expression" dxfId="228" priority="55">
      <formula>$C$25="REMOTE TOUCH SCREEN"</formula>
    </cfRule>
    <cfRule type="expression" dxfId="227" priority="54">
      <formula>$C$25="SMARTEC"</formula>
    </cfRule>
  </conditionalFormatting>
  <conditionalFormatting sqref="D26">
    <cfRule type="expression" dxfId="226" priority="52">
      <formula>C25="SMARTEC"</formula>
    </cfRule>
    <cfRule type="expression" dxfId="225" priority="49">
      <formula>C26="st/st enclosure"</formula>
    </cfRule>
  </conditionalFormatting>
  <conditionalFormatting sqref="D29">
    <cfRule type="expression" dxfId="224" priority="53">
      <formula>$C$25="SMARTEC"</formula>
    </cfRule>
  </conditionalFormatting>
  <conditionalFormatting sqref="D38">
    <cfRule type="expression" dxfId="223" priority="67">
      <formula>#REF!="SMARTEC"</formula>
    </cfRule>
    <cfRule type="expression" dxfId="222" priority="66">
      <formula>C38="st/st enclosure"</formula>
    </cfRule>
  </conditionalFormatting>
  <conditionalFormatting sqref="E39:E43">
    <cfRule type="expression" dxfId="221" priority="65">
      <formula>#REF!="select controls"</formula>
    </cfRule>
  </conditionalFormatting>
  <conditionalFormatting sqref="E44:F45 B45:B48 E46:E47 E48:F48">
    <cfRule type="expression" dxfId="220" priority="45">
      <formula>C38="select controls"</formula>
    </cfRule>
  </conditionalFormatting>
  <conditionalFormatting sqref="F40">
    <cfRule type="expression" dxfId="219" priority="1">
      <formula>G34="select controls"</formula>
    </cfRule>
  </conditionalFormatting>
  <conditionalFormatting sqref="G15:G36">
    <cfRule type="cellIs" dxfId="218" priority="2" operator="greaterThan">
      <formula>0</formula>
    </cfRule>
  </conditionalFormatting>
  <conditionalFormatting sqref="G38:G49">
    <cfRule type="cellIs" dxfId="217" priority="29" operator="greaterThan">
      <formula>0</formula>
    </cfRule>
  </conditionalFormatting>
  <conditionalFormatting sqref="G52:G61">
    <cfRule type="expression" dxfId="216" priority="14">
      <formula>C52&gt;0</formula>
    </cfRule>
  </conditionalFormatting>
  <conditionalFormatting sqref="H13 J13 L13">
    <cfRule type="expression" dxfId="215" priority="57">
      <formula>$B$9="EURO"</formula>
    </cfRule>
  </conditionalFormatting>
  <conditionalFormatting sqref="H15:H61">
    <cfRule type="cellIs" dxfId="214" priority="30" operator="greaterThan">
      <formula>0</formula>
    </cfRule>
  </conditionalFormatting>
  <conditionalFormatting sqref="I15:I36 I38:I49 I52:I61">
    <cfRule type="expression" dxfId="213" priority="63">
      <formula>$C$9&lt;0</formula>
    </cfRule>
    <cfRule type="expression" dxfId="212" priority="62">
      <formula>$C$9&gt;0</formula>
    </cfRule>
  </conditionalFormatting>
  <conditionalFormatting sqref="J37">
    <cfRule type="expression" dxfId="211" priority="61">
      <formula>$B$9="EURO"</formula>
    </cfRule>
    <cfRule type="expression" dxfId="210" priority="60">
      <formula>$B$9="USD"</formula>
    </cfRule>
    <cfRule type="expression" dxfId="209" priority="59">
      <formula>$B$9="CZK"</formula>
    </cfRule>
    <cfRule type="expression" dxfId="208" priority="58">
      <formula>$B$9="PLN"</formula>
    </cfRule>
  </conditionalFormatting>
  <conditionalFormatting sqref="J63:J69">
    <cfRule type="expression" dxfId="207" priority="64">
      <formula>#REF!="EURO"</formula>
    </cfRule>
  </conditionalFormatting>
  <conditionalFormatting sqref="K1:K36">
    <cfRule type="expression" dxfId="206" priority="6">
      <formula>$B$9="USD"</formula>
    </cfRule>
    <cfRule type="expression" dxfId="205" priority="5">
      <formula>$B$9="EURO"</formula>
    </cfRule>
    <cfRule type="expression" dxfId="204" priority="7">
      <formula>$B$9="PLN"</formula>
    </cfRule>
  </conditionalFormatting>
  <conditionalFormatting sqref="K1:K1048576">
    <cfRule type="expression" dxfId="203" priority="8">
      <formula>$B$9="CZK"</formula>
    </cfRule>
  </conditionalFormatting>
  <conditionalFormatting sqref="K15:K36">
    <cfRule type="cellIs" dxfId="202" priority="4" operator="greaterThan">
      <formula>0</formula>
    </cfRule>
  </conditionalFormatting>
  <conditionalFormatting sqref="K38:K49">
    <cfRule type="cellIs" dxfId="201" priority="21" operator="greaterThan">
      <formula>0</formula>
    </cfRule>
  </conditionalFormatting>
  <conditionalFormatting sqref="K38:K1048576">
    <cfRule type="expression" dxfId="200" priority="17">
      <formula>$B$9="EURO"</formula>
    </cfRule>
    <cfRule type="expression" dxfId="199" priority="18">
      <formula>$B$9="USD"</formula>
    </cfRule>
    <cfRule type="expression" dxfId="198" priority="19">
      <formula>$B$9="PLN"</formula>
    </cfRule>
  </conditionalFormatting>
  <conditionalFormatting sqref="K50">
    <cfRule type="cellIs" dxfId="197" priority="38" operator="greaterThan">
      <formula>0</formula>
    </cfRule>
  </conditionalFormatting>
  <conditionalFormatting sqref="K52:K61">
    <cfRule type="cellIs" dxfId="196" priority="16" operator="greaterThan">
      <formula>0</formula>
    </cfRule>
  </conditionalFormatting>
  <conditionalFormatting sqref="L15:L36 L52:L61">
    <cfRule type="cellIs" dxfId="195" priority="36" operator="greaterThan">
      <formula>0</formula>
    </cfRule>
  </conditionalFormatting>
  <conditionalFormatting sqref="L38:L49">
    <cfRule type="cellIs" dxfId="194" priority="28" operator="greaterThan">
      <formula>0</formula>
    </cfRule>
  </conditionalFormatting>
  <conditionalFormatting sqref="U40">
    <cfRule type="cellIs" dxfId="193" priority="27" operator="greaterThan">
      <formula>0</formula>
    </cfRule>
  </conditionalFormatting>
  <dataValidations count="3">
    <dataValidation type="list" allowBlank="1" showInputMessage="1" showErrorMessage="1" sqref="C65533:C65541 C65559:C65560 C65579 C65584 C131069:C131077 C131095:C131096 C131115 C131120 C196605:C196613 C196631:C196632 C196651 C196656 C262141:C262149 C262167:C262168 C262187 C262192 C327677:C327685 C327703:C327704 C327723 C327728 C393213:C393221 C393239:C393240 C393259 C393264 C458749:C458757 C458775:C458776 C458795 C458800 C524285:C524293 C524311:C524312 C524331 C524336 C589821:C589829 C589847:C589848 C589867 C589872 C655357:C655365 C655383:C655384 C655403 C655408 C720893:C720901 C720919:C720920 C720939 C720944 C786429:C786437 C786455:C786456 C786475 C786480 C851965:C851973 C851991:C851992 C852011 C852016 C917501:C917509 C917527:C917528 C917547 C917552 C983037:C983045 C983063:C983064 C983083 C983088 IE15:IE22 IE38:IE43 IE52:IE53 IE65533:IE65541 IE65559:IE65560 IE65579 IE65584 IE131069:IE131077 IE131095:IE131096 IE131115 IE131120 IE196605:IE196613 IE196631:IE196632 IE196651 IE196656 IE262141:IE262149 IE262167:IE262168 IE262187 IE262192 IE327677:IE327685 IE327703:IE327704 IE327723 IE327728 IE393213:IE393221 IE393239:IE393240 IE393259 IE393264 IE458749:IE458757 IE458775:IE458776 IE458795 IE458800 IE524285:IE524293 IE524311:IE524312 IE524331 IE524336 IE589821:IE589829 IE589847:IE589848 IE589867 IE589872 IE655357:IE655365 IE655383:IE655384 IE655403 IE655408 IE720893:IE720901 IE720919:IE720920 IE720939 IE720944 IE786429:IE786437 IE786455:IE786456 IE786475 IE786480 IE851965:IE851973 IE851991:IE851992 IE852011 IE852016 IE917501:IE917509 IE917527:IE917528 IE917547 IE917552 IE983037:IE983045 IE983063:IE983064 IE983083 IE983088 IP65518:IP65528 IP131054:IP131064 IP196590:IP196600 IP262126:IP262136 IP327662:IP327672 IP393198:IP393208 IP458734:IP458744 IP524270:IP524280 IP589806:IP589816 IP655342:IP655352 IP720878:IP720888 IP786414:IP786424 IP851950:IP851960 IP917486:IP917496 IP983022:IP983032 SA15:SA22 SA38:SA43 SA52:SA53 SA65533:SA65541 SA65559:SA65560 SA65579 SA65584 SA131069:SA131077 SA131095:SA131096 SA131115 SA131120 SA196605:SA196613 SA196631:SA196632 SA196651 SA196656 SA262141:SA262149 SA262167:SA262168 SA262187 SA262192 SA327677:SA327685 SA327703:SA327704 SA327723 SA327728 SA393213:SA393221 SA393239:SA393240 SA393259 SA393264 SA458749:SA458757 SA458775:SA458776 SA458795 SA458800 SA524285:SA524293 SA524311:SA524312 SA524331 SA524336 SA589821:SA589829 SA589847:SA589848 SA589867 SA589872 SA655357:SA655365 SA655383:SA655384 SA655403 SA655408 SA720893:SA720901 SA720919:SA720920 SA720939 SA720944 SA786429:SA786437 SA786455:SA786456 SA786475 SA786480 SA851965:SA851973 SA851991:SA851992 SA852011 SA852016 SA917501:SA917509 SA917527:SA917528 SA917547 SA917552 SA983037:SA983045 SA983063:SA983064 SA983083 SA983088 SL65518:SL65528 SL131054:SL131064 SL196590:SL196600 SL262126:SL262136 SL327662:SL327672 SL393198:SL393208 SL458734:SL458744 SL524270:SL524280 SL589806:SL589816 SL655342:SL655352 SL720878:SL720888 SL786414:SL786424 SL851950:SL851960 SL917486:SL917496 SL983022:SL983032 ABW15:ABW22 ABW38:ABW43 ABW52:ABW53 ABW65533:ABW65541 ABW65559:ABW65560 ABW65579 ABW65584 ABW131069:ABW131077 ABW131095:ABW131096 ABW131115 ABW131120 ABW196605:ABW196613 ABW196631:ABW196632 ABW196651 ABW196656 ABW262141:ABW262149 ABW262167:ABW262168 ABW262187 ABW262192 ABW327677:ABW327685 ABW327703:ABW327704 ABW327723 ABW327728 ABW393213:ABW393221 ABW393239:ABW393240 ABW393259 ABW393264 ABW458749:ABW458757 ABW458775:ABW458776 ABW458795 ABW458800 ABW524285:ABW524293 ABW524311:ABW524312 ABW524331 ABW524336 ABW589821:ABW589829 ABW589847:ABW589848 ABW589867 ABW589872 ABW655357:ABW655365 ABW655383:ABW655384 ABW655403 ABW655408 ABW720893:ABW720901 ABW720919:ABW720920 ABW720939 ABW720944 ABW786429:ABW786437 ABW786455:ABW786456 ABW786475 ABW786480 ABW851965:ABW851973 ABW851991:ABW851992 ABW852011 ABW852016 ABW917501:ABW917509 ABW917527:ABW917528 ABW917547 ABW917552 ABW983037:ABW983045 ABW983063:ABW983064 ABW983083 ABW983088 ACH65518:ACH65528 ACH131054:ACH131064 ACH196590:ACH196600 ACH262126:ACH262136 ACH327662:ACH327672 ACH393198:ACH393208 ACH458734:ACH458744 ACH524270:ACH524280 ACH589806:ACH589816 ACH655342:ACH655352 ACH720878:ACH720888 ACH786414:ACH786424 ACH851950:ACH851960 ACH917486:ACH917496 ACH983022:ACH983032 ALS15:ALS22 ALS38:ALS43 ALS52:ALS53 ALS65533:ALS65541 ALS65559:ALS65560 ALS65579 ALS65584 ALS131069:ALS131077 ALS131095:ALS131096 ALS131115 ALS131120 ALS196605:ALS196613 ALS196631:ALS196632 ALS196651 ALS196656 ALS262141:ALS262149 ALS262167:ALS262168 ALS262187 ALS262192 ALS327677:ALS327685 ALS327703:ALS327704 ALS327723 ALS327728 ALS393213:ALS393221 ALS393239:ALS393240 ALS393259 ALS393264 ALS458749:ALS458757 ALS458775:ALS458776 ALS458795 ALS458800 ALS524285:ALS524293 ALS524311:ALS524312 ALS524331 ALS524336 ALS589821:ALS589829 ALS589847:ALS589848 ALS589867 ALS589872 ALS655357:ALS655365 ALS655383:ALS655384 ALS655403 ALS655408 ALS720893:ALS720901 ALS720919:ALS720920 ALS720939 ALS720944 ALS786429:ALS786437 ALS786455:ALS786456 ALS786475 ALS786480 ALS851965:ALS851973 ALS851991:ALS851992 ALS852011 ALS852016 ALS917501:ALS917509 ALS917527:ALS917528 ALS917547 ALS917552 ALS983037:ALS983045 ALS983063:ALS983064 ALS983083 ALS983088 AMD65518:AMD65528 AMD131054:AMD131064 AMD196590:AMD196600 AMD262126:AMD262136 AMD327662:AMD327672 AMD393198:AMD393208 AMD458734:AMD458744 AMD524270:AMD524280 AMD589806:AMD589816 AMD655342:AMD655352 AMD720878:AMD720888 AMD786414:AMD786424 AMD851950:AMD851960 AMD917486:AMD917496 AMD983022:AMD983032 AVO15:AVO22 AVO38:AVO43 AVO52:AVO53 AVO65533:AVO65541 AVO65559:AVO65560 AVO65579 AVO65584 AVO131069:AVO131077 AVO131095:AVO131096 AVO131115 AVO131120 AVO196605:AVO196613 AVO196631:AVO196632 AVO196651 AVO196656 AVO262141:AVO262149 AVO262167:AVO262168 AVO262187 AVO262192 AVO327677:AVO327685 AVO327703:AVO327704 AVO327723 AVO327728 AVO393213:AVO393221 AVO393239:AVO393240 AVO393259 AVO393264 AVO458749:AVO458757 AVO458775:AVO458776 AVO458795 AVO458800 AVO524285:AVO524293 AVO524311:AVO524312 AVO524331 AVO524336 AVO589821:AVO589829 AVO589847:AVO589848 AVO589867 AVO589872 AVO655357:AVO655365 AVO655383:AVO655384 AVO655403 AVO655408 AVO720893:AVO720901 AVO720919:AVO720920 AVO720939 AVO720944 AVO786429:AVO786437 AVO786455:AVO786456 AVO786475 AVO786480 AVO851965:AVO851973 AVO851991:AVO851992 AVO852011 AVO852016 AVO917501:AVO917509 AVO917527:AVO917528 AVO917547 AVO917552 AVO983037:AVO983045 AVO983063:AVO983064 AVO983083 AVO983088 AVZ65518:AVZ65528 AVZ131054:AVZ131064 AVZ196590:AVZ196600 AVZ262126:AVZ262136 AVZ327662:AVZ327672 AVZ393198:AVZ393208 AVZ458734:AVZ458744 AVZ524270:AVZ524280 AVZ589806:AVZ589816 AVZ655342:AVZ655352 AVZ720878:AVZ720888 AVZ786414:AVZ786424 AVZ851950:AVZ851960 AVZ917486:AVZ917496 AVZ983022:AVZ983032 BFK15:BFK22 BFK38:BFK43 BFK52:BFK53 BFK65533:BFK65541 BFK65559:BFK65560 BFK65579 BFK65584 BFK131069:BFK131077 BFK131095:BFK131096 BFK131115 BFK131120 BFK196605:BFK196613 BFK196631:BFK196632 BFK196651 BFK196656 BFK262141:BFK262149 BFK262167:BFK262168 BFK262187 BFK262192 BFK327677:BFK327685 BFK327703:BFK327704 BFK327723 BFK327728 BFK393213:BFK393221 BFK393239:BFK393240 BFK393259 BFK393264 BFK458749:BFK458757 BFK458775:BFK458776 BFK458795 BFK458800 BFK524285:BFK524293 BFK524311:BFK524312 BFK524331 BFK524336 BFK589821:BFK589829 BFK589847:BFK589848 BFK589867 BFK589872 BFK655357:BFK655365 BFK655383:BFK655384 BFK655403 BFK655408 BFK720893:BFK720901 BFK720919:BFK720920 BFK720939 BFK720944 BFK786429:BFK786437 BFK786455:BFK786456 BFK786475 BFK786480 BFK851965:BFK851973 BFK851991:BFK851992 BFK852011 BFK852016 BFK917501:BFK917509 BFK917527:BFK917528 BFK917547 BFK917552 BFK983037:BFK983045 BFK983063:BFK983064 BFK983083 BFK983088 BFV65518:BFV65528 BFV131054:BFV131064 BFV196590:BFV196600 BFV262126:BFV262136 BFV327662:BFV327672 BFV393198:BFV393208 BFV458734:BFV458744 BFV524270:BFV524280 BFV589806:BFV589816 BFV655342:BFV655352 BFV720878:BFV720888 BFV786414:BFV786424 BFV851950:BFV851960 BFV917486:BFV917496 BFV983022:BFV983032 BPG15:BPG22 BPG38:BPG43 BPG52:BPG53 BPG65533:BPG65541 BPG65559:BPG65560 BPG65579 BPG65584 BPG131069:BPG131077 BPG131095:BPG131096 BPG131115 BPG131120 BPG196605:BPG196613 BPG196631:BPG196632 BPG196651 BPG196656 BPG262141:BPG262149 BPG262167:BPG262168 BPG262187 BPG262192 BPG327677:BPG327685 BPG327703:BPG327704 BPG327723 BPG327728 BPG393213:BPG393221 BPG393239:BPG393240 BPG393259 BPG393264 BPG458749:BPG458757 BPG458775:BPG458776 BPG458795 BPG458800 BPG524285:BPG524293 BPG524311:BPG524312 BPG524331 BPG524336 BPG589821:BPG589829 BPG589847:BPG589848 BPG589867 BPG589872 BPG655357:BPG655365 BPG655383:BPG655384 BPG655403 BPG655408 BPG720893:BPG720901 BPG720919:BPG720920 BPG720939 BPG720944 BPG786429:BPG786437 BPG786455:BPG786456 BPG786475 BPG786480 BPG851965:BPG851973 BPG851991:BPG851992 BPG852011 BPG852016 BPG917501:BPG917509 BPG917527:BPG917528 BPG917547 BPG917552 BPG983037:BPG983045 BPG983063:BPG983064 BPG983083 BPG983088 BPR65518:BPR65528 BPR131054:BPR131064 BPR196590:BPR196600 BPR262126:BPR262136 BPR327662:BPR327672 BPR393198:BPR393208 BPR458734:BPR458744 BPR524270:BPR524280 BPR589806:BPR589816 BPR655342:BPR655352 BPR720878:BPR720888 BPR786414:BPR786424 BPR851950:BPR851960 BPR917486:BPR917496 BPR983022:BPR983032 BZC15:BZC22 BZC38:BZC43 BZC52:BZC53 BZC65533:BZC65541 BZC65559:BZC65560 BZC65579 BZC65584 BZC131069:BZC131077 BZC131095:BZC131096 BZC131115 BZC131120 BZC196605:BZC196613 BZC196631:BZC196632 BZC196651 BZC196656 BZC262141:BZC262149 BZC262167:BZC262168 BZC262187 BZC262192 BZC327677:BZC327685 BZC327703:BZC327704 BZC327723 BZC327728 BZC393213:BZC393221 BZC393239:BZC393240 BZC393259 BZC393264 BZC458749:BZC458757 BZC458775:BZC458776 BZC458795 BZC458800 BZC524285:BZC524293 BZC524311:BZC524312 BZC524331 BZC524336 BZC589821:BZC589829 BZC589847:BZC589848 BZC589867 BZC589872 BZC655357:BZC655365 BZC655383:BZC655384 BZC655403 BZC655408 BZC720893:BZC720901 BZC720919:BZC720920 BZC720939 BZC720944 BZC786429:BZC786437 BZC786455:BZC786456 BZC786475 BZC786480 BZC851965:BZC851973 BZC851991:BZC851992 BZC852011 BZC852016 BZC917501:BZC917509 BZC917527:BZC917528 BZC917547 BZC917552 BZC983037:BZC983045 BZC983063:BZC983064 BZC983083 BZC983088 BZN65518:BZN65528 BZN131054:BZN131064 BZN196590:BZN196600 BZN262126:BZN262136 BZN327662:BZN327672 BZN393198:BZN393208 BZN458734:BZN458744 BZN524270:BZN524280 BZN589806:BZN589816 BZN655342:BZN655352 BZN720878:BZN720888 BZN786414:BZN786424 BZN851950:BZN851960 BZN917486:BZN917496 BZN983022:BZN983032 CIY15:CIY22 CIY38:CIY43 CIY52:CIY53 CIY65533:CIY65541 CIY65559:CIY65560 CIY65579 CIY65584 CIY131069:CIY131077 CIY131095:CIY131096 CIY131115 CIY131120 CIY196605:CIY196613 CIY196631:CIY196632 CIY196651 CIY196656 CIY262141:CIY262149 CIY262167:CIY262168 CIY262187 CIY262192 CIY327677:CIY327685 CIY327703:CIY327704 CIY327723 CIY327728 CIY393213:CIY393221 CIY393239:CIY393240 CIY393259 CIY393264 CIY458749:CIY458757 CIY458775:CIY458776 CIY458795 CIY458800 CIY524285:CIY524293 CIY524311:CIY524312 CIY524331 CIY524336 CIY589821:CIY589829 CIY589847:CIY589848 CIY589867 CIY589872 CIY655357:CIY655365 CIY655383:CIY655384 CIY655403 CIY655408 CIY720893:CIY720901 CIY720919:CIY720920 CIY720939 CIY720944 CIY786429:CIY786437 CIY786455:CIY786456 CIY786475 CIY786480 CIY851965:CIY851973 CIY851991:CIY851992 CIY852011 CIY852016 CIY917501:CIY917509 CIY917527:CIY917528 CIY917547 CIY917552 CIY983037:CIY983045 CIY983063:CIY983064 CIY983083 CIY983088 CJJ65518:CJJ65528 CJJ131054:CJJ131064 CJJ196590:CJJ196600 CJJ262126:CJJ262136 CJJ327662:CJJ327672 CJJ393198:CJJ393208 CJJ458734:CJJ458744 CJJ524270:CJJ524280 CJJ589806:CJJ589816 CJJ655342:CJJ655352 CJJ720878:CJJ720888 CJJ786414:CJJ786424 CJJ851950:CJJ851960 CJJ917486:CJJ917496 CJJ983022:CJJ983032 CSU15:CSU22 CSU38:CSU43 CSU52:CSU53 CSU65533:CSU65541 CSU65559:CSU65560 CSU65579 CSU65584 CSU131069:CSU131077 CSU131095:CSU131096 CSU131115 CSU131120 CSU196605:CSU196613 CSU196631:CSU196632 CSU196651 CSU196656 CSU262141:CSU262149 CSU262167:CSU262168 CSU262187 CSU262192 CSU327677:CSU327685 CSU327703:CSU327704 CSU327723 CSU327728 CSU393213:CSU393221 CSU393239:CSU393240 CSU393259 CSU393264 CSU458749:CSU458757 CSU458775:CSU458776 CSU458795 CSU458800 CSU524285:CSU524293 CSU524311:CSU524312 CSU524331 CSU524336 CSU589821:CSU589829 CSU589847:CSU589848 CSU589867 CSU589872 CSU655357:CSU655365 CSU655383:CSU655384 CSU655403 CSU655408 CSU720893:CSU720901 CSU720919:CSU720920 CSU720939 CSU720944 CSU786429:CSU786437 CSU786455:CSU786456 CSU786475 CSU786480 CSU851965:CSU851973 CSU851991:CSU851992 CSU852011 CSU852016 CSU917501:CSU917509 CSU917527:CSU917528 CSU917547 CSU917552 CSU983037:CSU983045 CSU983063:CSU983064 CSU983083 CSU983088 CTF65518:CTF65528 CTF131054:CTF131064 CTF196590:CTF196600 CTF262126:CTF262136 CTF327662:CTF327672 CTF393198:CTF393208 CTF458734:CTF458744 CTF524270:CTF524280 CTF589806:CTF589816 CTF655342:CTF655352 CTF720878:CTF720888 CTF786414:CTF786424 CTF851950:CTF851960 CTF917486:CTF917496 CTF983022:CTF983032 DCQ15:DCQ22 DCQ38:DCQ43 DCQ52:DCQ53 DCQ65533:DCQ65541 DCQ65559:DCQ65560 DCQ65579 DCQ65584 DCQ131069:DCQ131077 DCQ131095:DCQ131096 DCQ131115 DCQ131120 DCQ196605:DCQ196613 DCQ196631:DCQ196632 DCQ196651 DCQ196656 DCQ262141:DCQ262149 DCQ262167:DCQ262168 DCQ262187 DCQ262192 DCQ327677:DCQ327685 DCQ327703:DCQ327704 DCQ327723 DCQ327728 DCQ393213:DCQ393221 DCQ393239:DCQ393240 DCQ393259 DCQ393264 DCQ458749:DCQ458757 DCQ458775:DCQ458776 DCQ458795 DCQ458800 DCQ524285:DCQ524293 DCQ524311:DCQ524312 DCQ524331 DCQ524336 DCQ589821:DCQ589829 DCQ589847:DCQ589848 DCQ589867 DCQ589872 DCQ655357:DCQ655365 DCQ655383:DCQ655384 DCQ655403 DCQ655408 DCQ720893:DCQ720901 DCQ720919:DCQ720920 DCQ720939 DCQ720944 DCQ786429:DCQ786437 DCQ786455:DCQ786456 DCQ786475 DCQ786480 DCQ851965:DCQ851973 DCQ851991:DCQ851992 DCQ852011 DCQ852016 DCQ917501:DCQ917509 DCQ917527:DCQ917528 DCQ917547 DCQ917552 DCQ983037:DCQ983045 DCQ983063:DCQ983064 DCQ983083 DCQ983088 DDB65518:DDB65528 DDB131054:DDB131064 DDB196590:DDB196600 DDB262126:DDB262136 DDB327662:DDB327672 DDB393198:DDB393208 DDB458734:DDB458744 DDB524270:DDB524280 DDB589806:DDB589816 DDB655342:DDB655352 DDB720878:DDB720888 DDB786414:DDB786424 DDB851950:DDB851960 DDB917486:DDB917496 DDB983022:DDB983032 DMM15:DMM22 DMM38:DMM43 DMM52:DMM53 DMM65533:DMM65541 DMM65559:DMM65560 DMM65579 DMM65584 DMM131069:DMM131077 DMM131095:DMM131096 DMM131115 DMM131120 DMM196605:DMM196613 DMM196631:DMM196632 DMM196651 DMM196656 DMM262141:DMM262149 DMM262167:DMM262168 DMM262187 DMM262192 DMM327677:DMM327685 DMM327703:DMM327704 DMM327723 DMM327728 DMM393213:DMM393221 DMM393239:DMM393240 DMM393259 DMM393264 DMM458749:DMM458757 DMM458775:DMM458776 DMM458795 DMM458800 DMM524285:DMM524293 DMM524311:DMM524312 DMM524331 DMM524336 DMM589821:DMM589829 DMM589847:DMM589848 DMM589867 DMM589872 DMM655357:DMM655365 DMM655383:DMM655384 DMM655403 DMM655408 DMM720893:DMM720901 DMM720919:DMM720920 DMM720939 DMM720944 DMM786429:DMM786437 DMM786455:DMM786456 DMM786475 DMM786480 DMM851965:DMM851973 DMM851991:DMM851992 DMM852011 DMM852016 DMM917501:DMM917509 DMM917527:DMM917528 DMM917547 DMM917552 DMM983037:DMM983045 DMM983063:DMM983064 DMM983083 DMM983088 DMX65518:DMX65528 DMX131054:DMX131064 DMX196590:DMX196600 DMX262126:DMX262136 DMX327662:DMX327672 DMX393198:DMX393208 DMX458734:DMX458744 DMX524270:DMX524280 DMX589806:DMX589816 DMX655342:DMX655352 DMX720878:DMX720888 DMX786414:DMX786424 DMX851950:DMX851960 DMX917486:DMX917496 DMX983022:DMX983032 DWI15:DWI22 DWI38:DWI43 DWI52:DWI53 DWI65533:DWI65541 DWI65559:DWI65560 DWI65579 DWI65584 DWI131069:DWI131077 DWI131095:DWI131096 DWI131115 DWI131120 DWI196605:DWI196613 DWI196631:DWI196632 DWI196651 DWI196656 DWI262141:DWI262149 DWI262167:DWI262168 DWI262187 DWI262192 DWI327677:DWI327685 DWI327703:DWI327704 DWI327723 DWI327728 DWI393213:DWI393221 DWI393239:DWI393240 DWI393259 DWI393264 DWI458749:DWI458757 DWI458775:DWI458776 DWI458795 DWI458800 DWI524285:DWI524293 DWI524311:DWI524312 DWI524331 DWI524336 DWI589821:DWI589829 DWI589847:DWI589848 DWI589867 DWI589872 DWI655357:DWI655365 DWI655383:DWI655384 DWI655403 DWI655408 DWI720893:DWI720901 DWI720919:DWI720920 DWI720939 DWI720944 DWI786429:DWI786437 DWI786455:DWI786456 DWI786475 DWI786480 DWI851965:DWI851973 DWI851991:DWI851992 DWI852011 DWI852016 DWI917501:DWI917509 DWI917527:DWI917528 DWI917547 DWI917552 DWI983037:DWI983045 DWI983063:DWI983064 DWI983083 DWI983088 DWT65518:DWT65528 DWT131054:DWT131064 DWT196590:DWT196600 DWT262126:DWT262136 DWT327662:DWT327672 DWT393198:DWT393208 DWT458734:DWT458744 DWT524270:DWT524280 DWT589806:DWT589816 DWT655342:DWT655352 DWT720878:DWT720888 DWT786414:DWT786424 DWT851950:DWT851960 DWT917486:DWT917496 DWT983022:DWT983032 EGE15:EGE22 EGE38:EGE43 EGE52:EGE53 EGE65533:EGE65541 EGE65559:EGE65560 EGE65579 EGE65584 EGE131069:EGE131077 EGE131095:EGE131096 EGE131115 EGE131120 EGE196605:EGE196613 EGE196631:EGE196632 EGE196651 EGE196656 EGE262141:EGE262149 EGE262167:EGE262168 EGE262187 EGE262192 EGE327677:EGE327685 EGE327703:EGE327704 EGE327723 EGE327728 EGE393213:EGE393221 EGE393239:EGE393240 EGE393259 EGE393264 EGE458749:EGE458757 EGE458775:EGE458776 EGE458795 EGE458800 EGE524285:EGE524293 EGE524311:EGE524312 EGE524331 EGE524336 EGE589821:EGE589829 EGE589847:EGE589848 EGE589867 EGE589872 EGE655357:EGE655365 EGE655383:EGE655384 EGE655403 EGE655408 EGE720893:EGE720901 EGE720919:EGE720920 EGE720939 EGE720944 EGE786429:EGE786437 EGE786455:EGE786456 EGE786475 EGE786480 EGE851965:EGE851973 EGE851991:EGE851992 EGE852011 EGE852016 EGE917501:EGE917509 EGE917527:EGE917528 EGE917547 EGE917552 EGE983037:EGE983045 EGE983063:EGE983064 EGE983083 EGE983088 EGP65518:EGP65528 EGP131054:EGP131064 EGP196590:EGP196600 EGP262126:EGP262136 EGP327662:EGP327672 EGP393198:EGP393208 EGP458734:EGP458744 EGP524270:EGP524280 EGP589806:EGP589816 EGP655342:EGP655352 EGP720878:EGP720888 EGP786414:EGP786424 EGP851950:EGP851960 EGP917486:EGP917496 EGP983022:EGP983032 EQA15:EQA22 EQA38:EQA43 EQA52:EQA53 EQA65533:EQA65541 EQA65559:EQA65560 EQA65579 EQA65584 EQA131069:EQA131077 EQA131095:EQA131096 EQA131115 EQA131120 EQA196605:EQA196613 EQA196631:EQA196632 EQA196651 EQA196656 EQA262141:EQA262149 EQA262167:EQA262168 EQA262187 EQA262192 EQA327677:EQA327685 EQA327703:EQA327704 EQA327723 EQA327728 EQA393213:EQA393221 EQA393239:EQA393240 EQA393259 EQA393264 EQA458749:EQA458757 EQA458775:EQA458776 EQA458795 EQA458800 EQA524285:EQA524293 EQA524311:EQA524312 EQA524331 EQA524336 EQA589821:EQA589829 EQA589847:EQA589848 EQA589867 EQA589872 EQA655357:EQA655365 EQA655383:EQA655384 EQA655403 EQA655408 EQA720893:EQA720901 EQA720919:EQA720920 EQA720939 EQA720944 EQA786429:EQA786437 EQA786455:EQA786456 EQA786475 EQA786480 EQA851965:EQA851973 EQA851991:EQA851992 EQA852011 EQA852016 EQA917501:EQA917509 EQA917527:EQA917528 EQA917547 EQA917552 EQA983037:EQA983045 EQA983063:EQA983064 EQA983083 EQA983088 EQL65518:EQL65528 EQL131054:EQL131064 EQL196590:EQL196600 EQL262126:EQL262136 EQL327662:EQL327672 EQL393198:EQL393208 EQL458734:EQL458744 EQL524270:EQL524280 EQL589806:EQL589816 EQL655342:EQL655352 EQL720878:EQL720888 EQL786414:EQL786424 EQL851950:EQL851960 EQL917486:EQL917496 EQL983022:EQL983032 EZW15:EZW22 EZW38:EZW43 EZW52:EZW53 EZW65533:EZW65541 EZW65559:EZW65560 EZW65579 EZW65584 EZW131069:EZW131077 EZW131095:EZW131096 EZW131115 EZW131120 EZW196605:EZW196613 EZW196631:EZW196632 EZW196651 EZW196656 EZW262141:EZW262149 EZW262167:EZW262168 EZW262187 EZW262192 EZW327677:EZW327685 EZW327703:EZW327704 EZW327723 EZW327728 EZW393213:EZW393221 EZW393239:EZW393240 EZW393259 EZW393264 EZW458749:EZW458757 EZW458775:EZW458776 EZW458795 EZW458800 EZW524285:EZW524293 EZW524311:EZW524312 EZW524331 EZW524336 EZW589821:EZW589829 EZW589847:EZW589848 EZW589867 EZW589872 EZW655357:EZW655365 EZW655383:EZW655384 EZW655403 EZW655408 EZW720893:EZW720901 EZW720919:EZW720920 EZW720939 EZW720944 EZW786429:EZW786437 EZW786455:EZW786456 EZW786475 EZW786480 EZW851965:EZW851973 EZW851991:EZW851992 EZW852011 EZW852016 EZW917501:EZW917509 EZW917527:EZW917528 EZW917547 EZW917552 EZW983037:EZW983045 EZW983063:EZW983064 EZW983083 EZW983088 FAH65518:FAH65528 FAH131054:FAH131064 FAH196590:FAH196600 FAH262126:FAH262136 FAH327662:FAH327672 FAH393198:FAH393208 FAH458734:FAH458744 FAH524270:FAH524280 FAH589806:FAH589816 FAH655342:FAH655352 FAH720878:FAH720888 FAH786414:FAH786424 FAH851950:FAH851960 FAH917486:FAH917496 FAH983022:FAH983032 FJS15:FJS22 FJS38:FJS43 FJS52:FJS53 FJS65533:FJS65541 FJS65559:FJS65560 FJS65579 FJS65584 FJS131069:FJS131077 FJS131095:FJS131096 FJS131115 FJS131120 FJS196605:FJS196613 FJS196631:FJS196632 FJS196651 FJS196656 FJS262141:FJS262149 FJS262167:FJS262168 FJS262187 FJS262192 FJS327677:FJS327685 FJS327703:FJS327704 FJS327723 FJS327728 FJS393213:FJS393221 FJS393239:FJS393240 FJS393259 FJS393264 FJS458749:FJS458757 FJS458775:FJS458776 FJS458795 FJS458800 FJS524285:FJS524293 FJS524311:FJS524312 FJS524331 FJS524336 FJS589821:FJS589829 FJS589847:FJS589848 FJS589867 FJS589872 FJS655357:FJS655365 FJS655383:FJS655384 FJS655403 FJS655408 FJS720893:FJS720901 FJS720919:FJS720920 FJS720939 FJS720944 FJS786429:FJS786437 FJS786455:FJS786456 FJS786475 FJS786480 FJS851965:FJS851973 FJS851991:FJS851992 FJS852011 FJS852016 FJS917501:FJS917509 FJS917527:FJS917528 FJS917547 FJS917552 FJS983037:FJS983045 FJS983063:FJS983064 FJS983083 FJS983088 FKD65518:FKD65528 FKD131054:FKD131064 FKD196590:FKD196600 FKD262126:FKD262136 FKD327662:FKD327672 FKD393198:FKD393208 FKD458734:FKD458744 FKD524270:FKD524280 FKD589806:FKD589816 FKD655342:FKD655352 FKD720878:FKD720888 FKD786414:FKD786424 FKD851950:FKD851960 FKD917486:FKD917496 FKD983022:FKD983032 FTO15:FTO22 FTO38:FTO43 FTO52:FTO53 FTO65533:FTO65541 FTO65559:FTO65560 FTO65579 FTO65584 FTO131069:FTO131077 FTO131095:FTO131096 FTO131115 FTO131120 FTO196605:FTO196613 FTO196631:FTO196632 FTO196651 FTO196656 FTO262141:FTO262149 FTO262167:FTO262168 FTO262187 FTO262192 FTO327677:FTO327685 FTO327703:FTO327704 FTO327723 FTO327728 FTO393213:FTO393221 FTO393239:FTO393240 FTO393259 FTO393264 FTO458749:FTO458757 FTO458775:FTO458776 FTO458795 FTO458800 FTO524285:FTO524293 FTO524311:FTO524312 FTO524331 FTO524336 FTO589821:FTO589829 FTO589847:FTO589848 FTO589867 FTO589872 FTO655357:FTO655365 FTO655383:FTO655384 FTO655403 FTO655408 FTO720893:FTO720901 FTO720919:FTO720920 FTO720939 FTO720944 FTO786429:FTO786437 FTO786455:FTO786456 FTO786475 FTO786480 FTO851965:FTO851973 FTO851991:FTO851992 FTO852011 FTO852016 FTO917501:FTO917509 FTO917527:FTO917528 FTO917547 FTO917552 FTO983037:FTO983045 FTO983063:FTO983064 FTO983083 FTO983088 FTZ65518:FTZ65528 FTZ131054:FTZ131064 FTZ196590:FTZ196600 FTZ262126:FTZ262136 FTZ327662:FTZ327672 FTZ393198:FTZ393208 FTZ458734:FTZ458744 FTZ524270:FTZ524280 FTZ589806:FTZ589816 FTZ655342:FTZ655352 FTZ720878:FTZ720888 FTZ786414:FTZ786424 FTZ851950:FTZ851960 FTZ917486:FTZ917496 FTZ983022:FTZ983032 GDK15:GDK22 GDK38:GDK43 GDK52:GDK53 GDK65533:GDK65541 GDK65559:GDK65560 GDK65579 GDK65584 GDK131069:GDK131077 GDK131095:GDK131096 GDK131115 GDK131120 GDK196605:GDK196613 GDK196631:GDK196632 GDK196651 GDK196656 GDK262141:GDK262149 GDK262167:GDK262168 GDK262187 GDK262192 GDK327677:GDK327685 GDK327703:GDK327704 GDK327723 GDK327728 GDK393213:GDK393221 GDK393239:GDK393240 GDK393259 GDK393264 GDK458749:GDK458757 GDK458775:GDK458776 GDK458795 GDK458800 GDK524285:GDK524293 GDK524311:GDK524312 GDK524331 GDK524336 GDK589821:GDK589829 GDK589847:GDK589848 GDK589867 GDK589872 GDK655357:GDK655365 GDK655383:GDK655384 GDK655403 GDK655408 GDK720893:GDK720901 GDK720919:GDK720920 GDK720939 GDK720944 GDK786429:GDK786437 GDK786455:GDK786456 GDK786475 GDK786480 GDK851965:GDK851973 GDK851991:GDK851992 GDK852011 GDK852016 GDK917501:GDK917509 GDK917527:GDK917528 GDK917547 GDK917552 GDK983037:GDK983045 GDK983063:GDK983064 GDK983083 GDK983088 GDV65518:GDV65528 GDV131054:GDV131064 GDV196590:GDV196600 GDV262126:GDV262136 GDV327662:GDV327672 GDV393198:GDV393208 GDV458734:GDV458744 GDV524270:GDV524280 GDV589806:GDV589816 GDV655342:GDV655352 GDV720878:GDV720888 GDV786414:GDV786424 GDV851950:GDV851960 GDV917486:GDV917496 GDV983022:GDV983032 GNG15:GNG22 GNG38:GNG43 GNG52:GNG53 GNG65533:GNG65541 GNG65559:GNG65560 GNG65579 GNG65584 GNG131069:GNG131077 GNG131095:GNG131096 GNG131115 GNG131120 GNG196605:GNG196613 GNG196631:GNG196632 GNG196651 GNG196656 GNG262141:GNG262149 GNG262167:GNG262168 GNG262187 GNG262192 GNG327677:GNG327685 GNG327703:GNG327704 GNG327723 GNG327728 GNG393213:GNG393221 GNG393239:GNG393240 GNG393259 GNG393264 GNG458749:GNG458757 GNG458775:GNG458776 GNG458795 GNG458800 GNG524285:GNG524293 GNG524311:GNG524312 GNG524331 GNG524336 GNG589821:GNG589829 GNG589847:GNG589848 GNG589867 GNG589872 GNG655357:GNG655365 GNG655383:GNG655384 GNG655403 GNG655408 GNG720893:GNG720901 GNG720919:GNG720920 GNG720939 GNG720944 GNG786429:GNG786437 GNG786455:GNG786456 GNG786475 GNG786480 GNG851965:GNG851973 GNG851991:GNG851992 GNG852011 GNG852016 GNG917501:GNG917509 GNG917527:GNG917528 GNG917547 GNG917552 GNG983037:GNG983045 GNG983063:GNG983064 GNG983083 GNG983088 GNR65518:GNR65528 GNR131054:GNR131064 GNR196590:GNR196600 GNR262126:GNR262136 GNR327662:GNR327672 GNR393198:GNR393208 GNR458734:GNR458744 GNR524270:GNR524280 GNR589806:GNR589816 GNR655342:GNR655352 GNR720878:GNR720888 GNR786414:GNR786424 GNR851950:GNR851960 GNR917486:GNR917496 GNR983022:GNR983032 GXC15:GXC22 GXC38:GXC43 GXC52:GXC53 GXC65533:GXC65541 GXC65559:GXC65560 GXC65579 GXC65584 GXC131069:GXC131077 GXC131095:GXC131096 GXC131115 GXC131120 GXC196605:GXC196613 GXC196631:GXC196632 GXC196651 GXC196656 GXC262141:GXC262149 GXC262167:GXC262168 GXC262187 GXC262192 GXC327677:GXC327685 GXC327703:GXC327704 GXC327723 GXC327728 GXC393213:GXC393221 GXC393239:GXC393240 GXC393259 GXC393264 GXC458749:GXC458757 GXC458775:GXC458776 GXC458795 GXC458800 GXC524285:GXC524293 GXC524311:GXC524312 GXC524331 GXC524336 GXC589821:GXC589829 GXC589847:GXC589848 GXC589867 GXC589872 GXC655357:GXC655365 GXC655383:GXC655384 GXC655403 GXC655408 GXC720893:GXC720901 GXC720919:GXC720920 GXC720939 GXC720944 GXC786429:GXC786437 GXC786455:GXC786456 GXC786475 GXC786480 GXC851965:GXC851973 GXC851991:GXC851992 GXC852011 GXC852016 GXC917501:GXC917509 GXC917527:GXC917528 GXC917547 GXC917552 GXC983037:GXC983045 GXC983063:GXC983064 GXC983083 GXC983088 GXN65518:GXN65528 GXN131054:GXN131064 GXN196590:GXN196600 GXN262126:GXN262136 GXN327662:GXN327672 GXN393198:GXN393208 GXN458734:GXN458744 GXN524270:GXN524280 GXN589806:GXN589816 GXN655342:GXN655352 GXN720878:GXN720888 GXN786414:GXN786424 GXN851950:GXN851960 GXN917486:GXN917496 GXN983022:GXN983032 HGY15:HGY22 HGY38:HGY43 HGY52:HGY53 HGY65533:HGY65541 HGY65559:HGY65560 HGY65579 HGY65584 HGY131069:HGY131077 HGY131095:HGY131096 HGY131115 HGY131120 HGY196605:HGY196613 HGY196631:HGY196632 HGY196651 HGY196656 HGY262141:HGY262149 HGY262167:HGY262168 HGY262187 HGY262192 HGY327677:HGY327685 HGY327703:HGY327704 HGY327723 HGY327728 HGY393213:HGY393221 HGY393239:HGY393240 HGY393259 HGY393264 HGY458749:HGY458757 HGY458775:HGY458776 HGY458795 HGY458800 HGY524285:HGY524293 HGY524311:HGY524312 HGY524331 HGY524336 HGY589821:HGY589829 HGY589847:HGY589848 HGY589867 HGY589872 HGY655357:HGY655365 HGY655383:HGY655384 HGY655403 HGY655408 HGY720893:HGY720901 HGY720919:HGY720920 HGY720939 HGY720944 HGY786429:HGY786437 HGY786455:HGY786456 HGY786475 HGY786480 HGY851965:HGY851973 HGY851991:HGY851992 HGY852011 HGY852016 HGY917501:HGY917509 HGY917527:HGY917528 HGY917547 HGY917552 HGY983037:HGY983045 HGY983063:HGY983064 HGY983083 HGY983088 HHJ65518:HHJ65528 HHJ131054:HHJ131064 HHJ196590:HHJ196600 HHJ262126:HHJ262136 HHJ327662:HHJ327672 HHJ393198:HHJ393208 HHJ458734:HHJ458744 HHJ524270:HHJ524280 HHJ589806:HHJ589816 HHJ655342:HHJ655352 HHJ720878:HHJ720888 HHJ786414:HHJ786424 HHJ851950:HHJ851960 HHJ917486:HHJ917496 HHJ983022:HHJ983032 HQU15:HQU22 HQU38:HQU43 HQU52:HQU53 HQU65533:HQU65541 HQU65559:HQU65560 HQU65579 HQU65584 HQU131069:HQU131077 HQU131095:HQU131096 HQU131115 HQU131120 HQU196605:HQU196613 HQU196631:HQU196632 HQU196651 HQU196656 HQU262141:HQU262149 HQU262167:HQU262168 HQU262187 HQU262192 HQU327677:HQU327685 HQU327703:HQU327704 HQU327723 HQU327728 HQU393213:HQU393221 HQU393239:HQU393240 HQU393259 HQU393264 HQU458749:HQU458757 HQU458775:HQU458776 HQU458795 HQU458800 HQU524285:HQU524293 HQU524311:HQU524312 HQU524331 HQU524336 HQU589821:HQU589829 HQU589847:HQU589848 HQU589867 HQU589872 HQU655357:HQU655365 HQU655383:HQU655384 HQU655403 HQU655408 HQU720893:HQU720901 HQU720919:HQU720920 HQU720939 HQU720944 HQU786429:HQU786437 HQU786455:HQU786456 HQU786475 HQU786480 HQU851965:HQU851973 HQU851991:HQU851992 HQU852011 HQU852016 HQU917501:HQU917509 HQU917527:HQU917528 HQU917547 HQU917552 HQU983037:HQU983045 HQU983063:HQU983064 HQU983083 HQU983088 HRF65518:HRF65528 HRF131054:HRF131064 HRF196590:HRF196600 HRF262126:HRF262136 HRF327662:HRF327672 HRF393198:HRF393208 HRF458734:HRF458744 HRF524270:HRF524280 HRF589806:HRF589816 HRF655342:HRF655352 HRF720878:HRF720888 HRF786414:HRF786424 HRF851950:HRF851960 HRF917486:HRF917496 HRF983022:HRF983032 IAQ15:IAQ22 IAQ38:IAQ43 IAQ52:IAQ53 IAQ65533:IAQ65541 IAQ65559:IAQ65560 IAQ65579 IAQ65584 IAQ131069:IAQ131077 IAQ131095:IAQ131096 IAQ131115 IAQ131120 IAQ196605:IAQ196613 IAQ196631:IAQ196632 IAQ196651 IAQ196656 IAQ262141:IAQ262149 IAQ262167:IAQ262168 IAQ262187 IAQ262192 IAQ327677:IAQ327685 IAQ327703:IAQ327704 IAQ327723 IAQ327728 IAQ393213:IAQ393221 IAQ393239:IAQ393240 IAQ393259 IAQ393264 IAQ458749:IAQ458757 IAQ458775:IAQ458776 IAQ458795 IAQ458800 IAQ524285:IAQ524293 IAQ524311:IAQ524312 IAQ524331 IAQ524336 IAQ589821:IAQ589829 IAQ589847:IAQ589848 IAQ589867 IAQ589872 IAQ655357:IAQ655365 IAQ655383:IAQ655384 IAQ655403 IAQ655408 IAQ720893:IAQ720901 IAQ720919:IAQ720920 IAQ720939 IAQ720944 IAQ786429:IAQ786437 IAQ786455:IAQ786456 IAQ786475 IAQ786480 IAQ851965:IAQ851973 IAQ851991:IAQ851992 IAQ852011 IAQ852016 IAQ917501:IAQ917509 IAQ917527:IAQ917528 IAQ917547 IAQ917552 IAQ983037:IAQ983045 IAQ983063:IAQ983064 IAQ983083 IAQ983088 IBB65518:IBB65528 IBB131054:IBB131064 IBB196590:IBB196600 IBB262126:IBB262136 IBB327662:IBB327672 IBB393198:IBB393208 IBB458734:IBB458744 IBB524270:IBB524280 IBB589806:IBB589816 IBB655342:IBB655352 IBB720878:IBB720888 IBB786414:IBB786424 IBB851950:IBB851960 IBB917486:IBB917496 IBB983022:IBB983032 IKM15:IKM22 IKM38:IKM43 IKM52:IKM53 IKM65533:IKM65541 IKM65559:IKM65560 IKM65579 IKM65584 IKM131069:IKM131077 IKM131095:IKM131096 IKM131115 IKM131120 IKM196605:IKM196613 IKM196631:IKM196632 IKM196651 IKM196656 IKM262141:IKM262149 IKM262167:IKM262168 IKM262187 IKM262192 IKM327677:IKM327685 IKM327703:IKM327704 IKM327723 IKM327728 IKM393213:IKM393221 IKM393239:IKM393240 IKM393259 IKM393264 IKM458749:IKM458757 IKM458775:IKM458776 IKM458795 IKM458800 IKM524285:IKM524293 IKM524311:IKM524312 IKM524331 IKM524336 IKM589821:IKM589829 IKM589847:IKM589848 IKM589867 IKM589872 IKM655357:IKM655365 IKM655383:IKM655384 IKM655403 IKM655408 IKM720893:IKM720901 IKM720919:IKM720920 IKM720939 IKM720944 IKM786429:IKM786437 IKM786455:IKM786456 IKM786475 IKM786480 IKM851965:IKM851973 IKM851991:IKM851992 IKM852011 IKM852016 IKM917501:IKM917509 IKM917527:IKM917528 IKM917547 IKM917552 IKM983037:IKM983045 IKM983063:IKM983064 IKM983083 IKM983088 IKX65518:IKX65528 IKX131054:IKX131064 IKX196590:IKX196600 IKX262126:IKX262136 IKX327662:IKX327672 IKX393198:IKX393208 IKX458734:IKX458744 IKX524270:IKX524280 IKX589806:IKX589816 IKX655342:IKX655352 IKX720878:IKX720888 IKX786414:IKX786424 IKX851950:IKX851960 IKX917486:IKX917496 IKX983022:IKX983032 IUI15:IUI22 IUI38:IUI43 IUI52:IUI53 IUI65533:IUI65541 IUI65559:IUI65560 IUI65579 IUI65584 IUI131069:IUI131077 IUI131095:IUI131096 IUI131115 IUI131120 IUI196605:IUI196613 IUI196631:IUI196632 IUI196651 IUI196656 IUI262141:IUI262149 IUI262167:IUI262168 IUI262187 IUI262192 IUI327677:IUI327685 IUI327703:IUI327704 IUI327723 IUI327728 IUI393213:IUI393221 IUI393239:IUI393240 IUI393259 IUI393264 IUI458749:IUI458757 IUI458775:IUI458776 IUI458795 IUI458800 IUI524285:IUI524293 IUI524311:IUI524312 IUI524331 IUI524336 IUI589821:IUI589829 IUI589847:IUI589848 IUI589867 IUI589872 IUI655357:IUI655365 IUI655383:IUI655384 IUI655403 IUI655408 IUI720893:IUI720901 IUI720919:IUI720920 IUI720939 IUI720944 IUI786429:IUI786437 IUI786455:IUI786456 IUI786475 IUI786480 IUI851965:IUI851973 IUI851991:IUI851992 IUI852011 IUI852016 IUI917501:IUI917509 IUI917527:IUI917528 IUI917547 IUI917552 IUI983037:IUI983045 IUI983063:IUI983064 IUI983083 IUI983088 IUT65518:IUT65528 IUT131054:IUT131064 IUT196590:IUT196600 IUT262126:IUT262136 IUT327662:IUT327672 IUT393198:IUT393208 IUT458734:IUT458744 IUT524270:IUT524280 IUT589806:IUT589816 IUT655342:IUT655352 IUT720878:IUT720888 IUT786414:IUT786424 IUT851950:IUT851960 IUT917486:IUT917496 IUT983022:IUT983032 JEE15:JEE22 JEE38:JEE43 JEE52:JEE53 JEE65533:JEE65541 JEE65559:JEE65560 JEE65579 JEE65584 JEE131069:JEE131077 JEE131095:JEE131096 JEE131115 JEE131120 JEE196605:JEE196613 JEE196631:JEE196632 JEE196651 JEE196656 JEE262141:JEE262149 JEE262167:JEE262168 JEE262187 JEE262192 JEE327677:JEE327685 JEE327703:JEE327704 JEE327723 JEE327728 JEE393213:JEE393221 JEE393239:JEE393240 JEE393259 JEE393264 JEE458749:JEE458757 JEE458775:JEE458776 JEE458795 JEE458800 JEE524285:JEE524293 JEE524311:JEE524312 JEE524331 JEE524336 JEE589821:JEE589829 JEE589847:JEE589848 JEE589867 JEE589872 JEE655357:JEE655365 JEE655383:JEE655384 JEE655403 JEE655408 JEE720893:JEE720901 JEE720919:JEE720920 JEE720939 JEE720944 JEE786429:JEE786437 JEE786455:JEE786456 JEE786475 JEE786480 JEE851965:JEE851973 JEE851991:JEE851992 JEE852011 JEE852016 JEE917501:JEE917509 JEE917527:JEE917528 JEE917547 JEE917552 JEE983037:JEE983045 JEE983063:JEE983064 JEE983083 JEE983088 JEP65518:JEP65528 JEP131054:JEP131064 JEP196590:JEP196600 JEP262126:JEP262136 JEP327662:JEP327672 JEP393198:JEP393208 JEP458734:JEP458744 JEP524270:JEP524280 JEP589806:JEP589816 JEP655342:JEP655352 JEP720878:JEP720888 JEP786414:JEP786424 JEP851950:JEP851960 JEP917486:JEP917496 JEP983022:JEP983032 JOA15:JOA22 JOA38:JOA43 JOA52:JOA53 JOA65533:JOA65541 JOA65559:JOA65560 JOA65579 JOA65584 JOA131069:JOA131077 JOA131095:JOA131096 JOA131115 JOA131120 JOA196605:JOA196613 JOA196631:JOA196632 JOA196651 JOA196656 JOA262141:JOA262149 JOA262167:JOA262168 JOA262187 JOA262192 JOA327677:JOA327685 JOA327703:JOA327704 JOA327723 JOA327728 JOA393213:JOA393221 JOA393239:JOA393240 JOA393259 JOA393264 JOA458749:JOA458757 JOA458775:JOA458776 JOA458795 JOA458800 JOA524285:JOA524293 JOA524311:JOA524312 JOA524331 JOA524336 JOA589821:JOA589829 JOA589847:JOA589848 JOA589867 JOA589872 JOA655357:JOA655365 JOA655383:JOA655384 JOA655403 JOA655408 JOA720893:JOA720901 JOA720919:JOA720920 JOA720939 JOA720944 JOA786429:JOA786437 JOA786455:JOA786456 JOA786475 JOA786480 JOA851965:JOA851973 JOA851991:JOA851992 JOA852011 JOA852016 JOA917501:JOA917509 JOA917527:JOA917528 JOA917547 JOA917552 JOA983037:JOA983045 JOA983063:JOA983064 JOA983083 JOA983088 JOL65518:JOL65528 JOL131054:JOL131064 JOL196590:JOL196600 JOL262126:JOL262136 JOL327662:JOL327672 JOL393198:JOL393208 JOL458734:JOL458744 JOL524270:JOL524280 JOL589806:JOL589816 JOL655342:JOL655352 JOL720878:JOL720888 JOL786414:JOL786424 JOL851950:JOL851960 JOL917486:JOL917496 JOL983022:JOL983032 JXW15:JXW22 JXW38:JXW43 JXW52:JXW53 JXW65533:JXW65541 JXW65559:JXW65560 JXW65579 JXW65584 JXW131069:JXW131077 JXW131095:JXW131096 JXW131115 JXW131120 JXW196605:JXW196613 JXW196631:JXW196632 JXW196651 JXW196656 JXW262141:JXW262149 JXW262167:JXW262168 JXW262187 JXW262192 JXW327677:JXW327685 JXW327703:JXW327704 JXW327723 JXW327728 JXW393213:JXW393221 JXW393239:JXW393240 JXW393259 JXW393264 JXW458749:JXW458757 JXW458775:JXW458776 JXW458795 JXW458800 JXW524285:JXW524293 JXW524311:JXW524312 JXW524331 JXW524336 JXW589821:JXW589829 JXW589847:JXW589848 JXW589867 JXW589872 JXW655357:JXW655365 JXW655383:JXW655384 JXW655403 JXW655408 JXW720893:JXW720901 JXW720919:JXW720920 JXW720939 JXW720944 JXW786429:JXW786437 JXW786455:JXW786456 JXW786475 JXW786480 JXW851965:JXW851973 JXW851991:JXW851992 JXW852011 JXW852016 JXW917501:JXW917509 JXW917527:JXW917528 JXW917547 JXW917552 JXW983037:JXW983045 JXW983063:JXW983064 JXW983083 JXW983088 JYH65518:JYH65528 JYH131054:JYH131064 JYH196590:JYH196600 JYH262126:JYH262136 JYH327662:JYH327672 JYH393198:JYH393208 JYH458734:JYH458744 JYH524270:JYH524280 JYH589806:JYH589816 JYH655342:JYH655352 JYH720878:JYH720888 JYH786414:JYH786424 JYH851950:JYH851960 JYH917486:JYH917496 JYH983022:JYH983032 KHS15:KHS22 KHS38:KHS43 KHS52:KHS53 KHS65533:KHS65541 KHS65559:KHS65560 KHS65579 KHS65584 KHS131069:KHS131077 KHS131095:KHS131096 KHS131115 KHS131120 KHS196605:KHS196613 KHS196631:KHS196632 KHS196651 KHS196656 KHS262141:KHS262149 KHS262167:KHS262168 KHS262187 KHS262192 KHS327677:KHS327685 KHS327703:KHS327704 KHS327723 KHS327728 KHS393213:KHS393221 KHS393239:KHS393240 KHS393259 KHS393264 KHS458749:KHS458757 KHS458775:KHS458776 KHS458795 KHS458800 KHS524285:KHS524293 KHS524311:KHS524312 KHS524331 KHS524336 KHS589821:KHS589829 KHS589847:KHS589848 KHS589867 KHS589872 KHS655357:KHS655365 KHS655383:KHS655384 KHS655403 KHS655408 KHS720893:KHS720901 KHS720919:KHS720920 KHS720939 KHS720944 KHS786429:KHS786437 KHS786455:KHS786456 KHS786475 KHS786480 KHS851965:KHS851973 KHS851991:KHS851992 KHS852011 KHS852016 KHS917501:KHS917509 KHS917527:KHS917528 KHS917547 KHS917552 KHS983037:KHS983045 KHS983063:KHS983064 KHS983083 KHS983088 KID65518:KID65528 KID131054:KID131064 KID196590:KID196600 KID262126:KID262136 KID327662:KID327672 KID393198:KID393208 KID458734:KID458744 KID524270:KID524280 KID589806:KID589816 KID655342:KID655352 KID720878:KID720888 KID786414:KID786424 KID851950:KID851960 KID917486:KID917496 KID983022:KID983032 KRO15:KRO22 KRO38:KRO43 KRO52:KRO53 KRO65533:KRO65541 KRO65559:KRO65560 KRO65579 KRO65584 KRO131069:KRO131077 KRO131095:KRO131096 KRO131115 KRO131120 KRO196605:KRO196613 KRO196631:KRO196632 KRO196651 KRO196656 KRO262141:KRO262149 KRO262167:KRO262168 KRO262187 KRO262192 KRO327677:KRO327685 KRO327703:KRO327704 KRO327723 KRO327728 KRO393213:KRO393221 KRO393239:KRO393240 KRO393259 KRO393264 KRO458749:KRO458757 KRO458775:KRO458776 KRO458795 KRO458800 KRO524285:KRO524293 KRO524311:KRO524312 KRO524331 KRO524336 KRO589821:KRO589829 KRO589847:KRO589848 KRO589867 KRO589872 KRO655357:KRO655365 KRO655383:KRO655384 KRO655403 KRO655408 KRO720893:KRO720901 KRO720919:KRO720920 KRO720939 KRO720944 KRO786429:KRO786437 KRO786455:KRO786456 KRO786475 KRO786480 KRO851965:KRO851973 KRO851991:KRO851992 KRO852011 KRO852016 KRO917501:KRO917509 KRO917527:KRO917528 KRO917547 KRO917552 KRO983037:KRO983045 KRO983063:KRO983064 KRO983083 KRO983088 KRZ65518:KRZ65528 KRZ131054:KRZ131064 KRZ196590:KRZ196600 KRZ262126:KRZ262136 KRZ327662:KRZ327672 KRZ393198:KRZ393208 KRZ458734:KRZ458744 KRZ524270:KRZ524280 KRZ589806:KRZ589816 KRZ655342:KRZ655352 KRZ720878:KRZ720888 KRZ786414:KRZ786424 KRZ851950:KRZ851960 KRZ917486:KRZ917496 KRZ983022:KRZ983032 LBK15:LBK22 LBK38:LBK43 LBK52:LBK53 LBK65533:LBK65541 LBK65559:LBK65560 LBK65579 LBK65584 LBK131069:LBK131077 LBK131095:LBK131096 LBK131115 LBK131120 LBK196605:LBK196613 LBK196631:LBK196632 LBK196651 LBK196656 LBK262141:LBK262149 LBK262167:LBK262168 LBK262187 LBK262192 LBK327677:LBK327685 LBK327703:LBK327704 LBK327723 LBK327728 LBK393213:LBK393221 LBK393239:LBK393240 LBK393259 LBK393264 LBK458749:LBK458757 LBK458775:LBK458776 LBK458795 LBK458800 LBK524285:LBK524293 LBK524311:LBK524312 LBK524331 LBK524336 LBK589821:LBK589829 LBK589847:LBK589848 LBK589867 LBK589872 LBK655357:LBK655365 LBK655383:LBK655384 LBK655403 LBK655408 LBK720893:LBK720901 LBK720919:LBK720920 LBK720939 LBK720944 LBK786429:LBK786437 LBK786455:LBK786456 LBK786475 LBK786480 LBK851965:LBK851973 LBK851991:LBK851992 LBK852011 LBK852016 LBK917501:LBK917509 LBK917527:LBK917528 LBK917547 LBK917552 LBK983037:LBK983045 LBK983063:LBK983064 LBK983083 LBK983088 LBV65518:LBV65528 LBV131054:LBV131064 LBV196590:LBV196600 LBV262126:LBV262136 LBV327662:LBV327672 LBV393198:LBV393208 LBV458734:LBV458744 LBV524270:LBV524280 LBV589806:LBV589816 LBV655342:LBV655352 LBV720878:LBV720888 LBV786414:LBV786424 LBV851950:LBV851960 LBV917486:LBV917496 LBV983022:LBV983032 LLG15:LLG22 LLG38:LLG43 LLG52:LLG53 LLG65533:LLG65541 LLG65559:LLG65560 LLG65579 LLG65584 LLG131069:LLG131077 LLG131095:LLG131096 LLG131115 LLG131120 LLG196605:LLG196613 LLG196631:LLG196632 LLG196651 LLG196656 LLG262141:LLG262149 LLG262167:LLG262168 LLG262187 LLG262192 LLG327677:LLG327685 LLG327703:LLG327704 LLG327723 LLG327728 LLG393213:LLG393221 LLG393239:LLG393240 LLG393259 LLG393264 LLG458749:LLG458757 LLG458775:LLG458776 LLG458795 LLG458800 LLG524285:LLG524293 LLG524311:LLG524312 LLG524331 LLG524336 LLG589821:LLG589829 LLG589847:LLG589848 LLG589867 LLG589872 LLG655357:LLG655365 LLG655383:LLG655384 LLG655403 LLG655408 LLG720893:LLG720901 LLG720919:LLG720920 LLG720939 LLG720944 LLG786429:LLG786437 LLG786455:LLG786456 LLG786475 LLG786480 LLG851965:LLG851973 LLG851991:LLG851992 LLG852011 LLG852016 LLG917501:LLG917509 LLG917527:LLG917528 LLG917547 LLG917552 LLG983037:LLG983045 LLG983063:LLG983064 LLG983083 LLG983088 LLR65518:LLR65528 LLR131054:LLR131064 LLR196590:LLR196600 LLR262126:LLR262136 LLR327662:LLR327672 LLR393198:LLR393208 LLR458734:LLR458744 LLR524270:LLR524280 LLR589806:LLR589816 LLR655342:LLR655352 LLR720878:LLR720888 LLR786414:LLR786424 LLR851950:LLR851960 LLR917486:LLR917496 LLR983022:LLR983032 LVC15:LVC22 LVC38:LVC43 LVC52:LVC53 LVC65533:LVC65541 LVC65559:LVC65560 LVC65579 LVC65584 LVC131069:LVC131077 LVC131095:LVC131096 LVC131115 LVC131120 LVC196605:LVC196613 LVC196631:LVC196632 LVC196651 LVC196656 LVC262141:LVC262149 LVC262167:LVC262168 LVC262187 LVC262192 LVC327677:LVC327685 LVC327703:LVC327704 LVC327723 LVC327728 LVC393213:LVC393221 LVC393239:LVC393240 LVC393259 LVC393264 LVC458749:LVC458757 LVC458775:LVC458776 LVC458795 LVC458800 LVC524285:LVC524293 LVC524311:LVC524312 LVC524331 LVC524336 LVC589821:LVC589829 LVC589847:LVC589848 LVC589867 LVC589872 LVC655357:LVC655365 LVC655383:LVC655384 LVC655403 LVC655408 LVC720893:LVC720901 LVC720919:LVC720920 LVC720939 LVC720944 LVC786429:LVC786437 LVC786455:LVC786456 LVC786475 LVC786480 LVC851965:LVC851973 LVC851991:LVC851992 LVC852011 LVC852016 LVC917501:LVC917509 LVC917527:LVC917528 LVC917547 LVC917552 LVC983037:LVC983045 LVC983063:LVC983064 LVC983083 LVC983088 LVN65518:LVN65528 LVN131054:LVN131064 LVN196590:LVN196600 LVN262126:LVN262136 LVN327662:LVN327672 LVN393198:LVN393208 LVN458734:LVN458744 LVN524270:LVN524280 LVN589806:LVN589816 LVN655342:LVN655352 LVN720878:LVN720888 LVN786414:LVN786424 LVN851950:LVN851960 LVN917486:LVN917496 LVN983022:LVN983032 MEY15:MEY22 MEY38:MEY43 MEY52:MEY53 MEY65533:MEY65541 MEY65559:MEY65560 MEY65579 MEY65584 MEY131069:MEY131077 MEY131095:MEY131096 MEY131115 MEY131120 MEY196605:MEY196613 MEY196631:MEY196632 MEY196651 MEY196656 MEY262141:MEY262149 MEY262167:MEY262168 MEY262187 MEY262192 MEY327677:MEY327685 MEY327703:MEY327704 MEY327723 MEY327728 MEY393213:MEY393221 MEY393239:MEY393240 MEY393259 MEY393264 MEY458749:MEY458757 MEY458775:MEY458776 MEY458795 MEY458800 MEY524285:MEY524293 MEY524311:MEY524312 MEY524331 MEY524336 MEY589821:MEY589829 MEY589847:MEY589848 MEY589867 MEY589872 MEY655357:MEY655365 MEY655383:MEY655384 MEY655403 MEY655408 MEY720893:MEY720901 MEY720919:MEY720920 MEY720939 MEY720944 MEY786429:MEY786437 MEY786455:MEY786456 MEY786475 MEY786480 MEY851965:MEY851973 MEY851991:MEY851992 MEY852011 MEY852016 MEY917501:MEY917509 MEY917527:MEY917528 MEY917547 MEY917552 MEY983037:MEY983045 MEY983063:MEY983064 MEY983083 MEY983088 MFJ65518:MFJ65528 MFJ131054:MFJ131064 MFJ196590:MFJ196600 MFJ262126:MFJ262136 MFJ327662:MFJ327672 MFJ393198:MFJ393208 MFJ458734:MFJ458744 MFJ524270:MFJ524280 MFJ589806:MFJ589816 MFJ655342:MFJ655352 MFJ720878:MFJ720888 MFJ786414:MFJ786424 MFJ851950:MFJ851960 MFJ917486:MFJ917496 MFJ983022:MFJ983032 MOU15:MOU22 MOU38:MOU43 MOU52:MOU53 MOU65533:MOU65541 MOU65559:MOU65560 MOU65579 MOU65584 MOU131069:MOU131077 MOU131095:MOU131096 MOU131115 MOU131120 MOU196605:MOU196613 MOU196631:MOU196632 MOU196651 MOU196656 MOU262141:MOU262149 MOU262167:MOU262168 MOU262187 MOU262192 MOU327677:MOU327685 MOU327703:MOU327704 MOU327723 MOU327728 MOU393213:MOU393221 MOU393239:MOU393240 MOU393259 MOU393264 MOU458749:MOU458757 MOU458775:MOU458776 MOU458795 MOU458800 MOU524285:MOU524293 MOU524311:MOU524312 MOU524331 MOU524336 MOU589821:MOU589829 MOU589847:MOU589848 MOU589867 MOU589872 MOU655357:MOU655365 MOU655383:MOU655384 MOU655403 MOU655408 MOU720893:MOU720901 MOU720919:MOU720920 MOU720939 MOU720944 MOU786429:MOU786437 MOU786455:MOU786456 MOU786475 MOU786480 MOU851965:MOU851973 MOU851991:MOU851992 MOU852011 MOU852016 MOU917501:MOU917509 MOU917527:MOU917528 MOU917547 MOU917552 MOU983037:MOU983045 MOU983063:MOU983064 MOU983083 MOU983088 MPF65518:MPF65528 MPF131054:MPF131064 MPF196590:MPF196600 MPF262126:MPF262136 MPF327662:MPF327672 MPF393198:MPF393208 MPF458734:MPF458744 MPF524270:MPF524280 MPF589806:MPF589816 MPF655342:MPF655352 MPF720878:MPF720888 MPF786414:MPF786424 MPF851950:MPF851960 MPF917486:MPF917496 MPF983022:MPF983032 MYQ15:MYQ22 MYQ38:MYQ43 MYQ52:MYQ53 MYQ65533:MYQ65541 MYQ65559:MYQ65560 MYQ65579 MYQ65584 MYQ131069:MYQ131077 MYQ131095:MYQ131096 MYQ131115 MYQ131120 MYQ196605:MYQ196613 MYQ196631:MYQ196632 MYQ196651 MYQ196656 MYQ262141:MYQ262149 MYQ262167:MYQ262168 MYQ262187 MYQ262192 MYQ327677:MYQ327685 MYQ327703:MYQ327704 MYQ327723 MYQ327728 MYQ393213:MYQ393221 MYQ393239:MYQ393240 MYQ393259 MYQ393264 MYQ458749:MYQ458757 MYQ458775:MYQ458776 MYQ458795 MYQ458800 MYQ524285:MYQ524293 MYQ524311:MYQ524312 MYQ524331 MYQ524336 MYQ589821:MYQ589829 MYQ589847:MYQ589848 MYQ589867 MYQ589872 MYQ655357:MYQ655365 MYQ655383:MYQ655384 MYQ655403 MYQ655408 MYQ720893:MYQ720901 MYQ720919:MYQ720920 MYQ720939 MYQ720944 MYQ786429:MYQ786437 MYQ786455:MYQ786456 MYQ786475 MYQ786480 MYQ851965:MYQ851973 MYQ851991:MYQ851992 MYQ852011 MYQ852016 MYQ917501:MYQ917509 MYQ917527:MYQ917528 MYQ917547 MYQ917552 MYQ983037:MYQ983045 MYQ983063:MYQ983064 MYQ983083 MYQ983088 MZB65518:MZB65528 MZB131054:MZB131064 MZB196590:MZB196600 MZB262126:MZB262136 MZB327662:MZB327672 MZB393198:MZB393208 MZB458734:MZB458744 MZB524270:MZB524280 MZB589806:MZB589816 MZB655342:MZB655352 MZB720878:MZB720888 MZB786414:MZB786424 MZB851950:MZB851960 MZB917486:MZB917496 MZB983022:MZB983032 NIM15:NIM22 NIM38:NIM43 NIM52:NIM53 NIM65533:NIM65541 NIM65559:NIM65560 NIM65579 NIM65584 NIM131069:NIM131077 NIM131095:NIM131096 NIM131115 NIM131120 NIM196605:NIM196613 NIM196631:NIM196632 NIM196651 NIM196656 NIM262141:NIM262149 NIM262167:NIM262168 NIM262187 NIM262192 NIM327677:NIM327685 NIM327703:NIM327704 NIM327723 NIM327728 NIM393213:NIM393221 NIM393239:NIM393240 NIM393259 NIM393264 NIM458749:NIM458757 NIM458775:NIM458776 NIM458795 NIM458800 NIM524285:NIM524293 NIM524311:NIM524312 NIM524331 NIM524336 NIM589821:NIM589829 NIM589847:NIM589848 NIM589867 NIM589872 NIM655357:NIM655365 NIM655383:NIM655384 NIM655403 NIM655408 NIM720893:NIM720901 NIM720919:NIM720920 NIM720939 NIM720944 NIM786429:NIM786437 NIM786455:NIM786456 NIM786475 NIM786480 NIM851965:NIM851973 NIM851991:NIM851992 NIM852011 NIM852016 NIM917501:NIM917509 NIM917527:NIM917528 NIM917547 NIM917552 NIM983037:NIM983045 NIM983063:NIM983064 NIM983083 NIM983088 NIX65518:NIX65528 NIX131054:NIX131064 NIX196590:NIX196600 NIX262126:NIX262136 NIX327662:NIX327672 NIX393198:NIX393208 NIX458734:NIX458744 NIX524270:NIX524280 NIX589806:NIX589816 NIX655342:NIX655352 NIX720878:NIX720888 NIX786414:NIX786424 NIX851950:NIX851960 NIX917486:NIX917496 NIX983022:NIX983032 NSI15:NSI22 NSI38:NSI43 NSI52:NSI53 NSI65533:NSI65541 NSI65559:NSI65560 NSI65579 NSI65584 NSI131069:NSI131077 NSI131095:NSI131096 NSI131115 NSI131120 NSI196605:NSI196613 NSI196631:NSI196632 NSI196651 NSI196656 NSI262141:NSI262149 NSI262167:NSI262168 NSI262187 NSI262192 NSI327677:NSI327685 NSI327703:NSI327704 NSI327723 NSI327728 NSI393213:NSI393221 NSI393239:NSI393240 NSI393259 NSI393264 NSI458749:NSI458757 NSI458775:NSI458776 NSI458795 NSI458800 NSI524285:NSI524293 NSI524311:NSI524312 NSI524331 NSI524336 NSI589821:NSI589829 NSI589847:NSI589848 NSI589867 NSI589872 NSI655357:NSI655365 NSI655383:NSI655384 NSI655403 NSI655408 NSI720893:NSI720901 NSI720919:NSI720920 NSI720939 NSI720944 NSI786429:NSI786437 NSI786455:NSI786456 NSI786475 NSI786480 NSI851965:NSI851973 NSI851991:NSI851992 NSI852011 NSI852016 NSI917501:NSI917509 NSI917527:NSI917528 NSI917547 NSI917552 NSI983037:NSI983045 NSI983063:NSI983064 NSI983083 NSI983088 NST65518:NST65528 NST131054:NST131064 NST196590:NST196600 NST262126:NST262136 NST327662:NST327672 NST393198:NST393208 NST458734:NST458744 NST524270:NST524280 NST589806:NST589816 NST655342:NST655352 NST720878:NST720888 NST786414:NST786424 NST851950:NST851960 NST917486:NST917496 NST983022:NST983032 OCE15:OCE22 OCE38:OCE43 OCE52:OCE53 OCE65533:OCE65541 OCE65559:OCE65560 OCE65579 OCE65584 OCE131069:OCE131077 OCE131095:OCE131096 OCE131115 OCE131120 OCE196605:OCE196613 OCE196631:OCE196632 OCE196651 OCE196656 OCE262141:OCE262149 OCE262167:OCE262168 OCE262187 OCE262192 OCE327677:OCE327685 OCE327703:OCE327704 OCE327723 OCE327728 OCE393213:OCE393221 OCE393239:OCE393240 OCE393259 OCE393264 OCE458749:OCE458757 OCE458775:OCE458776 OCE458795 OCE458800 OCE524285:OCE524293 OCE524311:OCE524312 OCE524331 OCE524336 OCE589821:OCE589829 OCE589847:OCE589848 OCE589867 OCE589872 OCE655357:OCE655365 OCE655383:OCE655384 OCE655403 OCE655408 OCE720893:OCE720901 OCE720919:OCE720920 OCE720939 OCE720944 OCE786429:OCE786437 OCE786455:OCE786456 OCE786475 OCE786480 OCE851965:OCE851973 OCE851991:OCE851992 OCE852011 OCE852016 OCE917501:OCE917509 OCE917527:OCE917528 OCE917547 OCE917552 OCE983037:OCE983045 OCE983063:OCE983064 OCE983083 OCE983088 OCP65518:OCP65528 OCP131054:OCP131064 OCP196590:OCP196600 OCP262126:OCP262136 OCP327662:OCP327672 OCP393198:OCP393208 OCP458734:OCP458744 OCP524270:OCP524280 OCP589806:OCP589816 OCP655342:OCP655352 OCP720878:OCP720888 OCP786414:OCP786424 OCP851950:OCP851960 OCP917486:OCP917496 OCP983022:OCP983032 OMA15:OMA22 OMA38:OMA43 OMA52:OMA53 OMA65533:OMA65541 OMA65559:OMA65560 OMA65579 OMA65584 OMA131069:OMA131077 OMA131095:OMA131096 OMA131115 OMA131120 OMA196605:OMA196613 OMA196631:OMA196632 OMA196651 OMA196656 OMA262141:OMA262149 OMA262167:OMA262168 OMA262187 OMA262192 OMA327677:OMA327685 OMA327703:OMA327704 OMA327723 OMA327728 OMA393213:OMA393221 OMA393239:OMA393240 OMA393259 OMA393264 OMA458749:OMA458757 OMA458775:OMA458776 OMA458795 OMA458800 OMA524285:OMA524293 OMA524311:OMA524312 OMA524331 OMA524336 OMA589821:OMA589829 OMA589847:OMA589848 OMA589867 OMA589872 OMA655357:OMA655365 OMA655383:OMA655384 OMA655403 OMA655408 OMA720893:OMA720901 OMA720919:OMA720920 OMA720939 OMA720944 OMA786429:OMA786437 OMA786455:OMA786456 OMA786475 OMA786480 OMA851965:OMA851973 OMA851991:OMA851992 OMA852011 OMA852016 OMA917501:OMA917509 OMA917527:OMA917528 OMA917547 OMA917552 OMA983037:OMA983045 OMA983063:OMA983064 OMA983083 OMA983088 OML65518:OML65528 OML131054:OML131064 OML196590:OML196600 OML262126:OML262136 OML327662:OML327672 OML393198:OML393208 OML458734:OML458744 OML524270:OML524280 OML589806:OML589816 OML655342:OML655352 OML720878:OML720888 OML786414:OML786424 OML851950:OML851960 OML917486:OML917496 OML983022:OML983032 OVW15:OVW22 OVW38:OVW43 OVW52:OVW53 OVW65533:OVW65541 OVW65559:OVW65560 OVW65579 OVW65584 OVW131069:OVW131077 OVW131095:OVW131096 OVW131115 OVW131120 OVW196605:OVW196613 OVW196631:OVW196632 OVW196651 OVW196656 OVW262141:OVW262149 OVW262167:OVW262168 OVW262187 OVW262192 OVW327677:OVW327685 OVW327703:OVW327704 OVW327723 OVW327728 OVW393213:OVW393221 OVW393239:OVW393240 OVW393259 OVW393264 OVW458749:OVW458757 OVW458775:OVW458776 OVW458795 OVW458800 OVW524285:OVW524293 OVW524311:OVW524312 OVW524331 OVW524336 OVW589821:OVW589829 OVW589847:OVW589848 OVW589867 OVW589872 OVW655357:OVW655365 OVW655383:OVW655384 OVW655403 OVW655408 OVW720893:OVW720901 OVW720919:OVW720920 OVW720939 OVW720944 OVW786429:OVW786437 OVW786455:OVW786456 OVW786475 OVW786480 OVW851965:OVW851973 OVW851991:OVW851992 OVW852011 OVW852016 OVW917501:OVW917509 OVW917527:OVW917528 OVW917547 OVW917552 OVW983037:OVW983045 OVW983063:OVW983064 OVW983083 OVW983088 OWH65518:OWH65528 OWH131054:OWH131064 OWH196590:OWH196600 OWH262126:OWH262136 OWH327662:OWH327672 OWH393198:OWH393208 OWH458734:OWH458744 OWH524270:OWH524280 OWH589806:OWH589816 OWH655342:OWH655352 OWH720878:OWH720888 OWH786414:OWH786424 OWH851950:OWH851960 OWH917486:OWH917496 OWH983022:OWH983032 PFS15:PFS22 PFS38:PFS43 PFS52:PFS53 PFS65533:PFS65541 PFS65559:PFS65560 PFS65579 PFS65584 PFS131069:PFS131077 PFS131095:PFS131096 PFS131115 PFS131120 PFS196605:PFS196613 PFS196631:PFS196632 PFS196651 PFS196656 PFS262141:PFS262149 PFS262167:PFS262168 PFS262187 PFS262192 PFS327677:PFS327685 PFS327703:PFS327704 PFS327723 PFS327728 PFS393213:PFS393221 PFS393239:PFS393240 PFS393259 PFS393264 PFS458749:PFS458757 PFS458775:PFS458776 PFS458795 PFS458800 PFS524285:PFS524293 PFS524311:PFS524312 PFS524331 PFS524336 PFS589821:PFS589829 PFS589847:PFS589848 PFS589867 PFS589872 PFS655357:PFS655365 PFS655383:PFS655384 PFS655403 PFS655408 PFS720893:PFS720901 PFS720919:PFS720920 PFS720939 PFS720944 PFS786429:PFS786437 PFS786455:PFS786456 PFS786475 PFS786480 PFS851965:PFS851973 PFS851991:PFS851992 PFS852011 PFS852016 PFS917501:PFS917509 PFS917527:PFS917528 PFS917547 PFS917552 PFS983037:PFS983045 PFS983063:PFS983064 PFS983083 PFS983088 PGD65518:PGD65528 PGD131054:PGD131064 PGD196590:PGD196600 PGD262126:PGD262136 PGD327662:PGD327672 PGD393198:PGD393208 PGD458734:PGD458744 PGD524270:PGD524280 PGD589806:PGD589816 PGD655342:PGD655352 PGD720878:PGD720888 PGD786414:PGD786424 PGD851950:PGD851960 PGD917486:PGD917496 PGD983022:PGD983032 PPO15:PPO22 PPO38:PPO43 PPO52:PPO53 PPO65533:PPO65541 PPO65559:PPO65560 PPO65579 PPO65584 PPO131069:PPO131077 PPO131095:PPO131096 PPO131115 PPO131120 PPO196605:PPO196613 PPO196631:PPO196632 PPO196651 PPO196656 PPO262141:PPO262149 PPO262167:PPO262168 PPO262187 PPO262192 PPO327677:PPO327685 PPO327703:PPO327704 PPO327723 PPO327728 PPO393213:PPO393221 PPO393239:PPO393240 PPO393259 PPO393264 PPO458749:PPO458757 PPO458775:PPO458776 PPO458795 PPO458800 PPO524285:PPO524293 PPO524311:PPO524312 PPO524331 PPO524336 PPO589821:PPO589829 PPO589847:PPO589848 PPO589867 PPO589872 PPO655357:PPO655365 PPO655383:PPO655384 PPO655403 PPO655408 PPO720893:PPO720901 PPO720919:PPO720920 PPO720939 PPO720944 PPO786429:PPO786437 PPO786455:PPO786456 PPO786475 PPO786480 PPO851965:PPO851973 PPO851991:PPO851992 PPO852011 PPO852016 PPO917501:PPO917509 PPO917527:PPO917528 PPO917547 PPO917552 PPO983037:PPO983045 PPO983063:PPO983064 PPO983083 PPO983088 PPZ65518:PPZ65528 PPZ131054:PPZ131064 PPZ196590:PPZ196600 PPZ262126:PPZ262136 PPZ327662:PPZ327672 PPZ393198:PPZ393208 PPZ458734:PPZ458744 PPZ524270:PPZ524280 PPZ589806:PPZ589816 PPZ655342:PPZ655352 PPZ720878:PPZ720888 PPZ786414:PPZ786424 PPZ851950:PPZ851960 PPZ917486:PPZ917496 PPZ983022:PPZ983032 PZK15:PZK22 PZK38:PZK43 PZK52:PZK53 PZK65533:PZK65541 PZK65559:PZK65560 PZK65579 PZK65584 PZK131069:PZK131077 PZK131095:PZK131096 PZK131115 PZK131120 PZK196605:PZK196613 PZK196631:PZK196632 PZK196651 PZK196656 PZK262141:PZK262149 PZK262167:PZK262168 PZK262187 PZK262192 PZK327677:PZK327685 PZK327703:PZK327704 PZK327723 PZK327728 PZK393213:PZK393221 PZK393239:PZK393240 PZK393259 PZK393264 PZK458749:PZK458757 PZK458775:PZK458776 PZK458795 PZK458800 PZK524285:PZK524293 PZK524311:PZK524312 PZK524331 PZK524336 PZK589821:PZK589829 PZK589847:PZK589848 PZK589867 PZK589872 PZK655357:PZK655365 PZK655383:PZK655384 PZK655403 PZK655408 PZK720893:PZK720901 PZK720919:PZK720920 PZK720939 PZK720944 PZK786429:PZK786437 PZK786455:PZK786456 PZK786475 PZK786480 PZK851965:PZK851973 PZK851991:PZK851992 PZK852011 PZK852016 PZK917501:PZK917509 PZK917527:PZK917528 PZK917547 PZK917552 PZK983037:PZK983045 PZK983063:PZK983064 PZK983083 PZK983088 PZV65518:PZV65528 PZV131054:PZV131064 PZV196590:PZV196600 PZV262126:PZV262136 PZV327662:PZV327672 PZV393198:PZV393208 PZV458734:PZV458744 PZV524270:PZV524280 PZV589806:PZV589816 PZV655342:PZV655352 PZV720878:PZV720888 PZV786414:PZV786424 PZV851950:PZV851960 PZV917486:PZV917496 PZV983022:PZV983032 QJG15:QJG22 QJG38:QJG43 QJG52:QJG53 QJG65533:QJG65541 QJG65559:QJG65560 QJG65579 QJG65584 QJG131069:QJG131077 QJG131095:QJG131096 QJG131115 QJG131120 QJG196605:QJG196613 QJG196631:QJG196632 QJG196651 QJG196656 QJG262141:QJG262149 QJG262167:QJG262168 QJG262187 QJG262192 QJG327677:QJG327685 QJG327703:QJG327704 QJG327723 QJG327728 QJG393213:QJG393221 QJG393239:QJG393240 QJG393259 QJG393264 QJG458749:QJG458757 QJG458775:QJG458776 QJG458795 QJG458800 QJG524285:QJG524293 QJG524311:QJG524312 QJG524331 QJG524336 QJG589821:QJG589829 QJG589847:QJG589848 QJG589867 QJG589872 QJG655357:QJG655365 QJG655383:QJG655384 QJG655403 QJG655408 QJG720893:QJG720901 QJG720919:QJG720920 QJG720939 QJG720944 QJG786429:QJG786437 QJG786455:QJG786456 QJG786475 QJG786480 QJG851965:QJG851973 QJG851991:QJG851992 QJG852011 QJG852016 QJG917501:QJG917509 QJG917527:QJG917528 QJG917547 QJG917552 QJG983037:QJG983045 QJG983063:QJG983064 QJG983083 QJG983088 QJR65518:QJR65528 QJR131054:QJR131064 QJR196590:QJR196600 QJR262126:QJR262136 QJR327662:QJR327672 QJR393198:QJR393208 QJR458734:QJR458744 QJR524270:QJR524280 QJR589806:QJR589816 QJR655342:QJR655352 QJR720878:QJR720888 QJR786414:QJR786424 QJR851950:QJR851960 QJR917486:QJR917496 QJR983022:QJR983032 QTC15:QTC22 QTC38:QTC43 QTC52:QTC53 QTC65533:QTC65541 QTC65559:QTC65560 QTC65579 QTC65584 QTC131069:QTC131077 QTC131095:QTC131096 QTC131115 QTC131120 QTC196605:QTC196613 QTC196631:QTC196632 QTC196651 QTC196656 QTC262141:QTC262149 QTC262167:QTC262168 QTC262187 QTC262192 QTC327677:QTC327685 QTC327703:QTC327704 QTC327723 QTC327728 QTC393213:QTC393221 QTC393239:QTC393240 QTC393259 QTC393264 QTC458749:QTC458757 QTC458775:QTC458776 QTC458795 QTC458800 QTC524285:QTC524293 QTC524311:QTC524312 QTC524331 QTC524336 QTC589821:QTC589829 QTC589847:QTC589848 QTC589867 QTC589872 QTC655357:QTC655365 QTC655383:QTC655384 QTC655403 QTC655408 QTC720893:QTC720901 QTC720919:QTC720920 QTC720939 QTC720944 QTC786429:QTC786437 QTC786455:QTC786456 QTC786475 QTC786480 QTC851965:QTC851973 QTC851991:QTC851992 QTC852011 QTC852016 QTC917501:QTC917509 QTC917527:QTC917528 QTC917547 QTC917552 QTC983037:QTC983045 QTC983063:QTC983064 QTC983083 QTC983088 QTN65518:QTN65528 QTN131054:QTN131064 QTN196590:QTN196600 QTN262126:QTN262136 QTN327662:QTN327672 QTN393198:QTN393208 QTN458734:QTN458744 QTN524270:QTN524280 QTN589806:QTN589816 QTN655342:QTN655352 QTN720878:QTN720888 QTN786414:QTN786424 QTN851950:QTN851960 QTN917486:QTN917496 QTN983022:QTN983032 RCY15:RCY22 RCY38:RCY43 RCY52:RCY53 RCY65533:RCY65541 RCY65559:RCY65560 RCY65579 RCY65584 RCY131069:RCY131077 RCY131095:RCY131096 RCY131115 RCY131120 RCY196605:RCY196613 RCY196631:RCY196632 RCY196651 RCY196656 RCY262141:RCY262149 RCY262167:RCY262168 RCY262187 RCY262192 RCY327677:RCY327685 RCY327703:RCY327704 RCY327723 RCY327728 RCY393213:RCY393221 RCY393239:RCY393240 RCY393259 RCY393264 RCY458749:RCY458757 RCY458775:RCY458776 RCY458795 RCY458800 RCY524285:RCY524293 RCY524311:RCY524312 RCY524331 RCY524336 RCY589821:RCY589829 RCY589847:RCY589848 RCY589867 RCY589872 RCY655357:RCY655365 RCY655383:RCY655384 RCY655403 RCY655408 RCY720893:RCY720901 RCY720919:RCY720920 RCY720939 RCY720944 RCY786429:RCY786437 RCY786455:RCY786456 RCY786475 RCY786480 RCY851965:RCY851973 RCY851991:RCY851992 RCY852011 RCY852016 RCY917501:RCY917509 RCY917527:RCY917528 RCY917547 RCY917552 RCY983037:RCY983045 RCY983063:RCY983064 RCY983083 RCY983088 RDJ65518:RDJ65528 RDJ131054:RDJ131064 RDJ196590:RDJ196600 RDJ262126:RDJ262136 RDJ327662:RDJ327672 RDJ393198:RDJ393208 RDJ458734:RDJ458744 RDJ524270:RDJ524280 RDJ589806:RDJ589816 RDJ655342:RDJ655352 RDJ720878:RDJ720888 RDJ786414:RDJ786424 RDJ851950:RDJ851960 RDJ917486:RDJ917496 RDJ983022:RDJ983032 RMU15:RMU22 RMU38:RMU43 RMU52:RMU53 RMU65533:RMU65541 RMU65559:RMU65560 RMU65579 RMU65584 RMU131069:RMU131077 RMU131095:RMU131096 RMU131115 RMU131120 RMU196605:RMU196613 RMU196631:RMU196632 RMU196651 RMU196656 RMU262141:RMU262149 RMU262167:RMU262168 RMU262187 RMU262192 RMU327677:RMU327685 RMU327703:RMU327704 RMU327723 RMU327728 RMU393213:RMU393221 RMU393239:RMU393240 RMU393259 RMU393264 RMU458749:RMU458757 RMU458775:RMU458776 RMU458795 RMU458800 RMU524285:RMU524293 RMU524311:RMU524312 RMU524331 RMU524336 RMU589821:RMU589829 RMU589847:RMU589848 RMU589867 RMU589872 RMU655357:RMU655365 RMU655383:RMU655384 RMU655403 RMU655408 RMU720893:RMU720901 RMU720919:RMU720920 RMU720939 RMU720944 RMU786429:RMU786437 RMU786455:RMU786456 RMU786475 RMU786480 RMU851965:RMU851973 RMU851991:RMU851992 RMU852011 RMU852016 RMU917501:RMU917509 RMU917527:RMU917528 RMU917547 RMU917552 RMU983037:RMU983045 RMU983063:RMU983064 RMU983083 RMU983088 RNF65518:RNF65528 RNF131054:RNF131064 RNF196590:RNF196600 RNF262126:RNF262136 RNF327662:RNF327672 RNF393198:RNF393208 RNF458734:RNF458744 RNF524270:RNF524280 RNF589806:RNF589816 RNF655342:RNF655352 RNF720878:RNF720888 RNF786414:RNF786424 RNF851950:RNF851960 RNF917486:RNF917496 RNF983022:RNF983032 RWQ15:RWQ22 RWQ38:RWQ43 RWQ52:RWQ53 RWQ65533:RWQ65541 RWQ65559:RWQ65560 RWQ65579 RWQ65584 RWQ131069:RWQ131077 RWQ131095:RWQ131096 RWQ131115 RWQ131120 RWQ196605:RWQ196613 RWQ196631:RWQ196632 RWQ196651 RWQ196656 RWQ262141:RWQ262149 RWQ262167:RWQ262168 RWQ262187 RWQ262192 RWQ327677:RWQ327685 RWQ327703:RWQ327704 RWQ327723 RWQ327728 RWQ393213:RWQ393221 RWQ393239:RWQ393240 RWQ393259 RWQ393264 RWQ458749:RWQ458757 RWQ458775:RWQ458776 RWQ458795 RWQ458800 RWQ524285:RWQ524293 RWQ524311:RWQ524312 RWQ524331 RWQ524336 RWQ589821:RWQ589829 RWQ589847:RWQ589848 RWQ589867 RWQ589872 RWQ655357:RWQ655365 RWQ655383:RWQ655384 RWQ655403 RWQ655408 RWQ720893:RWQ720901 RWQ720919:RWQ720920 RWQ720939 RWQ720944 RWQ786429:RWQ786437 RWQ786455:RWQ786456 RWQ786475 RWQ786480 RWQ851965:RWQ851973 RWQ851991:RWQ851992 RWQ852011 RWQ852016 RWQ917501:RWQ917509 RWQ917527:RWQ917528 RWQ917547 RWQ917552 RWQ983037:RWQ983045 RWQ983063:RWQ983064 RWQ983083 RWQ983088 RXB65518:RXB65528 RXB131054:RXB131064 RXB196590:RXB196600 RXB262126:RXB262136 RXB327662:RXB327672 RXB393198:RXB393208 RXB458734:RXB458744 RXB524270:RXB524280 RXB589806:RXB589816 RXB655342:RXB655352 RXB720878:RXB720888 RXB786414:RXB786424 RXB851950:RXB851960 RXB917486:RXB917496 RXB983022:RXB983032 SGM15:SGM22 SGM38:SGM43 SGM52:SGM53 SGM65533:SGM65541 SGM65559:SGM65560 SGM65579 SGM65584 SGM131069:SGM131077 SGM131095:SGM131096 SGM131115 SGM131120 SGM196605:SGM196613 SGM196631:SGM196632 SGM196651 SGM196656 SGM262141:SGM262149 SGM262167:SGM262168 SGM262187 SGM262192 SGM327677:SGM327685 SGM327703:SGM327704 SGM327723 SGM327728 SGM393213:SGM393221 SGM393239:SGM393240 SGM393259 SGM393264 SGM458749:SGM458757 SGM458775:SGM458776 SGM458795 SGM458800 SGM524285:SGM524293 SGM524311:SGM524312 SGM524331 SGM524336 SGM589821:SGM589829 SGM589847:SGM589848 SGM589867 SGM589872 SGM655357:SGM655365 SGM655383:SGM655384 SGM655403 SGM655408 SGM720893:SGM720901 SGM720919:SGM720920 SGM720939 SGM720944 SGM786429:SGM786437 SGM786455:SGM786456 SGM786475 SGM786480 SGM851965:SGM851973 SGM851991:SGM851992 SGM852011 SGM852016 SGM917501:SGM917509 SGM917527:SGM917528 SGM917547 SGM917552 SGM983037:SGM983045 SGM983063:SGM983064 SGM983083 SGM983088 SGX65518:SGX65528 SGX131054:SGX131064 SGX196590:SGX196600 SGX262126:SGX262136 SGX327662:SGX327672 SGX393198:SGX393208 SGX458734:SGX458744 SGX524270:SGX524280 SGX589806:SGX589816 SGX655342:SGX655352 SGX720878:SGX720888 SGX786414:SGX786424 SGX851950:SGX851960 SGX917486:SGX917496 SGX983022:SGX983032 SQI15:SQI22 SQI38:SQI43 SQI52:SQI53 SQI65533:SQI65541 SQI65559:SQI65560 SQI65579 SQI65584 SQI131069:SQI131077 SQI131095:SQI131096 SQI131115 SQI131120 SQI196605:SQI196613 SQI196631:SQI196632 SQI196651 SQI196656 SQI262141:SQI262149 SQI262167:SQI262168 SQI262187 SQI262192 SQI327677:SQI327685 SQI327703:SQI327704 SQI327723 SQI327728 SQI393213:SQI393221 SQI393239:SQI393240 SQI393259 SQI393264 SQI458749:SQI458757 SQI458775:SQI458776 SQI458795 SQI458800 SQI524285:SQI524293 SQI524311:SQI524312 SQI524331 SQI524336 SQI589821:SQI589829 SQI589847:SQI589848 SQI589867 SQI589872 SQI655357:SQI655365 SQI655383:SQI655384 SQI655403 SQI655408 SQI720893:SQI720901 SQI720919:SQI720920 SQI720939 SQI720944 SQI786429:SQI786437 SQI786455:SQI786456 SQI786475 SQI786480 SQI851965:SQI851973 SQI851991:SQI851992 SQI852011 SQI852016 SQI917501:SQI917509 SQI917527:SQI917528 SQI917547 SQI917552 SQI983037:SQI983045 SQI983063:SQI983064 SQI983083 SQI983088 SQT65518:SQT65528 SQT131054:SQT131064 SQT196590:SQT196600 SQT262126:SQT262136 SQT327662:SQT327672 SQT393198:SQT393208 SQT458734:SQT458744 SQT524270:SQT524280 SQT589806:SQT589816 SQT655342:SQT655352 SQT720878:SQT720888 SQT786414:SQT786424 SQT851950:SQT851960 SQT917486:SQT917496 SQT983022:SQT983032 TAE15:TAE22 TAE38:TAE43 TAE52:TAE53 TAE65533:TAE65541 TAE65559:TAE65560 TAE65579 TAE65584 TAE131069:TAE131077 TAE131095:TAE131096 TAE131115 TAE131120 TAE196605:TAE196613 TAE196631:TAE196632 TAE196651 TAE196656 TAE262141:TAE262149 TAE262167:TAE262168 TAE262187 TAE262192 TAE327677:TAE327685 TAE327703:TAE327704 TAE327723 TAE327728 TAE393213:TAE393221 TAE393239:TAE393240 TAE393259 TAE393264 TAE458749:TAE458757 TAE458775:TAE458776 TAE458795 TAE458800 TAE524285:TAE524293 TAE524311:TAE524312 TAE524331 TAE524336 TAE589821:TAE589829 TAE589847:TAE589848 TAE589867 TAE589872 TAE655357:TAE655365 TAE655383:TAE655384 TAE655403 TAE655408 TAE720893:TAE720901 TAE720919:TAE720920 TAE720939 TAE720944 TAE786429:TAE786437 TAE786455:TAE786456 TAE786475 TAE786480 TAE851965:TAE851973 TAE851991:TAE851992 TAE852011 TAE852016 TAE917501:TAE917509 TAE917527:TAE917528 TAE917547 TAE917552 TAE983037:TAE983045 TAE983063:TAE983064 TAE983083 TAE983088 TAP65518:TAP65528 TAP131054:TAP131064 TAP196590:TAP196600 TAP262126:TAP262136 TAP327662:TAP327672 TAP393198:TAP393208 TAP458734:TAP458744 TAP524270:TAP524280 TAP589806:TAP589816 TAP655342:TAP655352 TAP720878:TAP720888 TAP786414:TAP786424 TAP851950:TAP851960 TAP917486:TAP917496 TAP983022:TAP983032 TKA15:TKA22 TKA38:TKA43 TKA52:TKA53 TKA65533:TKA65541 TKA65559:TKA65560 TKA65579 TKA65584 TKA131069:TKA131077 TKA131095:TKA131096 TKA131115 TKA131120 TKA196605:TKA196613 TKA196631:TKA196632 TKA196651 TKA196656 TKA262141:TKA262149 TKA262167:TKA262168 TKA262187 TKA262192 TKA327677:TKA327685 TKA327703:TKA327704 TKA327723 TKA327728 TKA393213:TKA393221 TKA393239:TKA393240 TKA393259 TKA393264 TKA458749:TKA458757 TKA458775:TKA458776 TKA458795 TKA458800 TKA524285:TKA524293 TKA524311:TKA524312 TKA524331 TKA524336 TKA589821:TKA589829 TKA589847:TKA589848 TKA589867 TKA589872 TKA655357:TKA655365 TKA655383:TKA655384 TKA655403 TKA655408 TKA720893:TKA720901 TKA720919:TKA720920 TKA720939 TKA720944 TKA786429:TKA786437 TKA786455:TKA786456 TKA786475 TKA786480 TKA851965:TKA851973 TKA851991:TKA851992 TKA852011 TKA852016 TKA917501:TKA917509 TKA917527:TKA917528 TKA917547 TKA917552 TKA983037:TKA983045 TKA983063:TKA983064 TKA983083 TKA983088 TKL65518:TKL65528 TKL131054:TKL131064 TKL196590:TKL196600 TKL262126:TKL262136 TKL327662:TKL327672 TKL393198:TKL393208 TKL458734:TKL458744 TKL524270:TKL524280 TKL589806:TKL589816 TKL655342:TKL655352 TKL720878:TKL720888 TKL786414:TKL786424 TKL851950:TKL851960 TKL917486:TKL917496 TKL983022:TKL983032 TTW15:TTW22 TTW38:TTW43 TTW52:TTW53 TTW65533:TTW65541 TTW65559:TTW65560 TTW65579 TTW65584 TTW131069:TTW131077 TTW131095:TTW131096 TTW131115 TTW131120 TTW196605:TTW196613 TTW196631:TTW196632 TTW196651 TTW196656 TTW262141:TTW262149 TTW262167:TTW262168 TTW262187 TTW262192 TTW327677:TTW327685 TTW327703:TTW327704 TTW327723 TTW327728 TTW393213:TTW393221 TTW393239:TTW393240 TTW393259 TTW393264 TTW458749:TTW458757 TTW458775:TTW458776 TTW458795 TTW458800 TTW524285:TTW524293 TTW524311:TTW524312 TTW524331 TTW524336 TTW589821:TTW589829 TTW589847:TTW589848 TTW589867 TTW589872 TTW655357:TTW655365 TTW655383:TTW655384 TTW655403 TTW655408 TTW720893:TTW720901 TTW720919:TTW720920 TTW720939 TTW720944 TTW786429:TTW786437 TTW786455:TTW786456 TTW786475 TTW786480 TTW851965:TTW851973 TTW851991:TTW851992 TTW852011 TTW852016 TTW917501:TTW917509 TTW917527:TTW917528 TTW917547 TTW917552 TTW983037:TTW983045 TTW983063:TTW983064 TTW983083 TTW983088 TUH65518:TUH65528 TUH131054:TUH131064 TUH196590:TUH196600 TUH262126:TUH262136 TUH327662:TUH327672 TUH393198:TUH393208 TUH458734:TUH458744 TUH524270:TUH524280 TUH589806:TUH589816 TUH655342:TUH655352 TUH720878:TUH720888 TUH786414:TUH786424 TUH851950:TUH851960 TUH917486:TUH917496 TUH983022:TUH983032 UDS15:UDS22 UDS38:UDS43 UDS52:UDS53 UDS65533:UDS65541 UDS65559:UDS65560 UDS65579 UDS65584 UDS131069:UDS131077 UDS131095:UDS131096 UDS131115 UDS131120 UDS196605:UDS196613 UDS196631:UDS196632 UDS196651 UDS196656 UDS262141:UDS262149 UDS262167:UDS262168 UDS262187 UDS262192 UDS327677:UDS327685 UDS327703:UDS327704 UDS327723 UDS327728 UDS393213:UDS393221 UDS393239:UDS393240 UDS393259 UDS393264 UDS458749:UDS458757 UDS458775:UDS458776 UDS458795 UDS458800 UDS524285:UDS524293 UDS524311:UDS524312 UDS524331 UDS524336 UDS589821:UDS589829 UDS589847:UDS589848 UDS589867 UDS589872 UDS655357:UDS655365 UDS655383:UDS655384 UDS655403 UDS655408 UDS720893:UDS720901 UDS720919:UDS720920 UDS720939 UDS720944 UDS786429:UDS786437 UDS786455:UDS786456 UDS786475 UDS786480 UDS851965:UDS851973 UDS851991:UDS851992 UDS852011 UDS852016 UDS917501:UDS917509 UDS917527:UDS917528 UDS917547 UDS917552 UDS983037:UDS983045 UDS983063:UDS983064 UDS983083 UDS983088 UED65518:UED65528 UED131054:UED131064 UED196590:UED196600 UED262126:UED262136 UED327662:UED327672 UED393198:UED393208 UED458734:UED458744 UED524270:UED524280 UED589806:UED589816 UED655342:UED655352 UED720878:UED720888 UED786414:UED786424 UED851950:UED851960 UED917486:UED917496 UED983022:UED983032 UNO15:UNO22 UNO38:UNO43 UNO52:UNO53 UNO65533:UNO65541 UNO65559:UNO65560 UNO65579 UNO65584 UNO131069:UNO131077 UNO131095:UNO131096 UNO131115 UNO131120 UNO196605:UNO196613 UNO196631:UNO196632 UNO196651 UNO196656 UNO262141:UNO262149 UNO262167:UNO262168 UNO262187 UNO262192 UNO327677:UNO327685 UNO327703:UNO327704 UNO327723 UNO327728 UNO393213:UNO393221 UNO393239:UNO393240 UNO393259 UNO393264 UNO458749:UNO458757 UNO458775:UNO458776 UNO458795 UNO458800 UNO524285:UNO524293 UNO524311:UNO524312 UNO524331 UNO524336 UNO589821:UNO589829 UNO589847:UNO589848 UNO589867 UNO589872 UNO655357:UNO655365 UNO655383:UNO655384 UNO655403 UNO655408 UNO720893:UNO720901 UNO720919:UNO720920 UNO720939 UNO720944 UNO786429:UNO786437 UNO786455:UNO786456 UNO786475 UNO786480 UNO851965:UNO851973 UNO851991:UNO851992 UNO852011 UNO852016 UNO917501:UNO917509 UNO917527:UNO917528 UNO917547 UNO917552 UNO983037:UNO983045 UNO983063:UNO983064 UNO983083 UNO983088 UNZ65518:UNZ65528 UNZ131054:UNZ131064 UNZ196590:UNZ196600 UNZ262126:UNZ262136 UNZ327662:UNZ327672 UNZ393198:UNZ393208 UNZ458734:UNZ458744 UNZ524270:UNZ524280 UNZ589806:UNZ589816 UNZ655342:UNZ655352 UNZ720878:UNZ720888 UNZ786414:UNZ786424 UNZ851950:UNZ851960 UNZ917486:UNZ917496 UNZ983022:UNZ983032 UXK15:UXK22 UXK38:UXK43 UXK52:UXK53 UXK65533:UXK65541 UXK65559:UXK65560 UXK65579 UXK65584 UXK131069:UXK131077 UXK131095:UXK131096 UXK131115 UXK131120 UXK196605:UXK196613 UXK196631:UXK196632 UXK196651 UXK196656 UXK262141:UXK262149 UXK262167:UXK262168 UXK262187 UXK262192 UXK327677:UXK327685 UXK327703:UXK327704 UXK327723 UXK327728 UXK393213:UXK393221 UXK393239:UXK393240 UXK393259 UXK393264 UXK458749:UXK458757 UXK458775:UXK458776 UXK458795 UXK458800 UXK524285:UXK524293 UXK524311:UXK524312 UXK524331 UXK524336 UXK589821:UXK589829 UXK589847:UXK589848 UXK589867 UXK589872 UXK655357:UXK655365 UXK655383:UXK655384 UXK655403 UXK655408 UXK720893:UXK720901 UXK720919:UXK720920 UXK720939 UXK720944 UXK786429:UXK786437 UXK786455:UXK786456 UXK786475 UXK786480 UXK851965:UXK851973 UXK851991:UXK851992 UXK852011 UXK852016 UXK917501:UXK917509 UXK917527:UXK917528 UXK917547 UXK917552 UXK983037:UXK983045 UXK983063:UXK983064 UXK983083 UXK983088 UXV65518:UXV65528 UXV131054:UXV131064 UXV196590:UXV196600 UXV262126:UXV262136 UXV327662:UXV327672 UXV393198:UXV393208 UXV458734:UXV458744 UXV524270:UXV524280 UXV589806:UXV589816 UXV655342:UXV655352 UXV720878:UXV720888 UXV786414:UXV786424 UXV851950:UXV851960 UXV917486:UXV917496 UXV983022:UXV983032 VHG15:VHG22 VHG38:VHG43 VHG52:VHG53 VHG65533:VHG65541 VHG65559:VHG65560 VHG65579 VHG65584 VHG131069:VHG131077 VHG131095:VHG131096 VHG131115 VHG131120 VHG196605:VHG196613 VHG196631:VHG196632 VHG196651 VHG196656 VHG262141:VHG262149 VHG262167:VHG262168 VHG262187 VHG262192 VHG327677:VHG327685 VHG327703:VHG327704 VHG327723 VHG327728 VHG393213:VHG393221 VHG393239:VHG393240 VHG393259 VHG393264 VHG458749:VHG458757 VHG458775:VHG458776 VHG458795 VHG458800 VHG524285:VHG524293 VHG524311:VHG524312 VHG524331 VHG524336 VHG589821:VHG589829 VHG589847:VHG589848 VHG589867 VHG589872 VHG655357:VHG655365 VHG655383:VHG655384 VHG655403 VHG655408 VHG720893:VHG720901 VHG720919:VHG720920 VHG720939 VHG720944 VHG786429:VHG786437 VHG786455:VHG786456 VHG786475 VHG786480 VHG851965:VHG851973 VHG851991:VHG851992 VHG852011 VHG852016 VHG917501:VHG917509 VHG917527:VHG917528 VHG917547 VHG917552 VHG983037:VHG983045 VHG983063:VHG983064 VHG983083 VHG983088 VHR65518:VHR65528 VHR131054:VHR131064 VHR196590:VHR196600 VHR262126:VHR262136 VHR327662:VHR327672 VHR393198:VHR393208 VHR458734:VHR458744 VHR524270:VHR524280 VHR589806:VHR589816 VHR655342:VHR655352 VHR720878:VHR720888 VHR786414:VHR786424 VHR851950:VHR851960 VHR917486:VHR917496 VHR983022:VHR983032 VRC15:VRC22 VRC38:VRC43 VRC52:VRC53 VRC65533:VRC65541 VRC65559:VRC65560 VRC65579 VRC65584 VRC131069:VRC131077 VRC131095:VRC131096 VRC131115 VRC131120 VRC196605:VRC196613 VRC196631:VRC196632 VRC196651 VRC196656 VRC262141:VRC262149 VRC262167:VRC262168 VRC262187 VRC262192 VRC327677:VRC327685 VRC327703:VRC327704 VRC327723 VRC327728 VRC393213:VRC393221 VRC393239:VRC393240 VRC393259 VRC393264 VRC458749:VRC458757 VRC458775:VRC458776 VRC458795 VRC458800 VRC524285:VRC524293 VRC524311:VRC524312 VRC524331 VRC524336 VRC589821:VRC589829 VRC589847:VRC589848 VRC589867 VRC589872 VRC655357:VRC655365 VRC655383:VRC655384 VRC655403 VRC655408 VRC720893:VRC720901 VRC720919:VRC720920 VRC720939 VRC720944 VRC786429:VRC786437 VRC786455:VRC786456 VRC786475 VRC786480 VRC851965:VRC851973 VRC851991:VRC851992 VRC852011 VRC852016 VRC917501:VRC917509 VRC917527:VRC917528 VRC917547 VRC917552 VRC983037:VRC983045 VRC983063:VRC983064 VRC983083 VRC983088 VRN65518:VRN65528 VRN131054:VRN131064 VRN196590:VRN196600 VRN262126:VRN262136 VRN327662:VRN327672 VRN393198:VRN393208 VRN458734:VRN458744 VRN524270:VRN524280 VRN589806:VRN589816 VRN655342:VRN655352 VRN720878:VRN720888 VRN786414:VRN786424 VRN851950:VRN851960 VRN917486:VRN917496 VRN983022:VRN983032 WAY15:WAY22 WAY38:WAY43 WAY52:WAY53 WAY65533:WAY65541 WAY65559:WAY65560 WAY65579 WAY65584 WAY131069:WAY131077 WAY131095:WAY131096 WAY131115 WAY131120 WAY196605:WAY196613 WAY196631:WAY196632 WAY196651 WAY196656 WAY262141:WAY262149 WAY262167:WAY262168 WAY262187 WAY262192 WAY327677:WAY327685 WAY327703:WAY327704 WAY327723 WAY327728 WAY393213:WAY393221 WAY393239:WAY393240 WAY393259 WAY393264 WAY458749:WAY458757 WAY458775:WAY458776 WAY458795 WAY458800 WAY524285:WAY524293 WAY524311:WAY524312 WAY524331 WAY524336 WAY589821:WAY589829 WAY589847:WAY589848 WAY589867 WAY589872 WAY655357:WAY655365 WAY655383:WAY655384 WAY655403 WAY655408 WAY720893:WAY720901 WAY720919:WAY720920 WAY720939 WAY720944 WAY786429:WAY786437 WAY786455:WAY786456 WAY786475 WAY786480 WAY851965:WAY851973 WAY851991:WAY851992 WAY852011 WAY852016 WAY917501:WAY917509 WAY917527:WAY917528 WAY917547 WAY917552 WAY983037:WAY983045 WAY983063:WAY983064 WAY983083 WAY983088 WBJ65518:WBJ65528 WBJ131054:WBJ131064 WBJ196590:WBJ196600 WBJ262126:WBJ262136 WBJ327662:WBJ327672 WBJ393198:WBJ393208 WBJ458734:WBJ458744 WBJ524270:WBJ524280 WBJ589806:WBJ589816 WBJ655342:WBJ655352 WBJ720878:WBJ720888 WBJ786414:WBJ786424 WBJ851950:WBJ851960 WBJ917486:WBJ917496 WBJ983022:WBJ983032 WKU15:WKU22 WKU38:WKU43 WKU52:WKU53 WKU65533:WKU65541 WKU65559:WKU65560 WKU65579 WKU65584 WKU131069:WKU131077 WKU131095:WKU131096 WKU131115 WKU131120 WKU196605:WKU196613 WKU196631:WKU196632 WKU196651 WKU196656 WKU262141:WKU262149 WKU262167:WKU262168 WKU262187 WKU262192 WKU327677:WKU327685 WKU327703:WKU327704 WKU327723 WKU327728 WKU393213:WKU393221 WKU393239:WKU393240 WKU393259 WKU393264 WKU458749:WKU458757 WKU458775:WKU458776 WKU458795 WKU458800 WKU524285:WKU524293 WKU524311:WKU524312 WKU524331 WKU524336 WKU589821:WKU589829 WKU589847:WKU589848 WKU589867 WKU589872 WKU655357:WKU655365 WKU655383:WKU655384 WKU655403 WKU655408 WKU720893:WKU720901 WKU720919:WKU720920 WKU720939 WKU720944 WKU786429:WKU786437 WKU786455:WKU786456 WKU786475 WKU786480 WKU851965:WKU851973 WKU851991:WKU851992 WKU852011 WKU852016 WKU917501:WKU917509 WKU917527:WKU917528 WKU917547 WKU917552 WKU983037:WKU983045 WKU983063:WKU983064 WKU983083 WKU983088 WLF65518:WLF65528 WLF131054:WLF131064 WLF196590:WLF196600 WLF262126:WLF262136 WLF327662:WLF327672 WLF393198:WLF393208 WLF458734:WLF458744 WLF524270:WLF524280 WLF589806:WLF589816 WLF655342:WLF655352 WLF720878:WLF720888 WLF786414:WLF786424 WLF851950:WLF851960 WLF917486:WLF917496 WLF983022:WLF983032 WUQ15:WUQ22 WUQ38:WUQ43 WUQ52:WUQ53 WUQ65533:WUQ65541 WUQ65559:WUQ65560 WUQ65579 WUQ65584 WUQ131069:WUQ131077 WUQ131095:WUQ131096 WUQ131115 WUQ131120 WUQ196605:WUQ196613 WUQ196631:WUQ196632 WUQ196651 WUQ196656 WUQ262141:WUQ262149 WUQ262167:WUQ262168 WUQ262187 WUQ262192 WUQ327677:WUQ327685 WUQ327703:WUQ327704 WUQ327723 WUQ327728 WUQ393213:WUQ393221 WUQ393239:WUQ393240 WUQ393259 WUQ393264 WUQ458749:WUQ458757 WUQ458775:WUQ458776 WUQ458795 WUQ458800 WUQ524285:WUQ524293 WUQ524311:WUQ524312 WUQ524331 WUQ524336 WUQ589821:WUQ589829 WUQ589847:WUQ589848 WUQ589867 WUQ589872 WUQ655357:WUQ655365 WUQ655383:WUQ655384 WUQ655403 WUQ655408 WUQ720893:WUQ720901 WUQ720919:WUQ720920 WUQ720939 WUQ720944 WUQ786429:WUQ786437 WUQ786455:WUQ786456 WUQ786475 WUQ786480 WUQ851965:WUQ851973 WUQ851991:WUQ851992 WUQ852011 WUQ852016 WUQ917501:WUQ917509 WUQ917527:WUQ917528 WUQ917547 WUQ917552 WUQ983037:WUQ983045 WUQ983063:WUQ983064 WUQ983083 WUQ983088 WVB65518:WVB65528 WVB131054:WVB131064 WVB196590:WVB196600 WVB262126:WVB262136 WVB327662:WVB327672 WVB393198:WVB393208 WVB458734:WVB458744 WVB524270:WVB524280 WVB589806:WVB589816 WVB655342:WVB655352 WVB720878:WVB720888 WVB786414:WVB786424 WVB851950:WVB851960 WVB917486:WVB917496 WVB983022:WVB983032" xr:uid="{00000000-0002-0000-A400-000000000000}">
      <formula1>#REF!</formula1>
    </dataValidation>
    <dataValidation type="list" allowBlank="1" showInputMessage="1" showErrorMessage="1" sqref="C13" xr:uid="{00000000-0002-0000-A400-000001000000}">
      <formula1>"SELECT MODEL,INTERNAL,EXTERNAL"</formula1>
    </dataValidation>
    <dataValidation type="list" allowBlank="1" showInputMessage="1" showErrorMessage="1" sqref="C25" xr:uid="{00000000-0002-0000-A400-000002000000}">
      <formula1>"SELECT CONTROLS,SMARTEC, REMOTE TOUCH SCREEN"</formula1>
    </dataValidation>
  </dataValidations>
  <printOptions horizontalCentered="1"/>
  <pageMargins left="0.78740157480314965" right="0.35433070866141742" top="0.39370078740157483" bottom="0.39370078740157483" header="0.31496062992125978" footer="0.11811023622047249"/>
  <pageSetup paperSize="9" scale="49" orientation="portrait"/>
  <headerFooter alignWithMargins="0">
    <oddFooter>&amp;L&amp;Z&amp;F</oddFooter>
  </headerFooter>
  <drawing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sheetPr codeName="Sheet16">
    <tabColor theme="8" tint="0.79998168889431442"/>
    <pageSetUpPr fitToPage="1"/>
  </sheetPr>
  <dimension ref="B1:AH204"/>
  <sheetViews>
    <sheetView zoomScale="80" zoomScaleNormal="80" workbookViewId="0">
      <selection activeCell="G187" sqref="G187"/>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281" customWidth="1"/>
    <col min="8" max="8" width="15.5" style="281" customWidth="1"/>
    <col min="9" max="9" width="9.33203125" style="56" customWidth="1"/>
    <col min="10" max="10" width="14" style="281" hidden="1" customWidth="1"/>
    <col min="11" max="11" width="17" style="281" customWidth="1"/>
    <col min="12" max="12" width="13.1640625" style="281" bestFit="1" customWidth="1"/>
    <col min="13" max="13" width="12.5" style="55" customWidth="1"/>
    <col min="14" max="235" width="9.1640625" style="55" customWidth="1"/>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ustomWidth="1"/>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ustomWidth="1"/>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ustomWidth="1"/>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ustomWidth="1"/>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ustomWidth="1"/>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ustomWidth="1"/>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ustomWidth="1"/>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ustomWidth="1"/>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ustomWidth="1"/>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ustomWidth="1"/>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ustomWidth="1"/>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ustomWidth="1"/>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ustomWidth="1"/>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ustomWidth="1"/>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ustomWidth="1"/>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ustomWidth="1"/>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ustomWidth="1"/>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ustomWidth="1"/>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ustomWidth="1"/>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ustomWidth="1"/>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ustomWidth="1"/>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ustomWidth="1"/>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ustomWidth="1"/>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ustomWidth="1"/>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ustomWidth="1"/>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ustomWidth="1"/>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ustomWidth="1"/>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ustomWidth="1"/>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ustomWidth="1"/>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ustomWidth="1"/>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ustomWidth="1"/>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ustomWidth="1"/>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ustomWidth="1"/>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ustomWidth="1"/>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ustomWidth="1"/>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ustomWidth="1"/>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ustomWidth="1"/>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ustomWidth="1"/>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ustomWidth="1"/>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ustomWidth="1"/>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ustomWidth="1"/>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ustomWidth="1"/>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ustomWidth="1"/>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ustomWidth="1"/>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ustomWidth="1"/>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ustomWidth="1"/>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ustomWidth="1"/>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ustomWidth="1"/>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ustomWidth="1"/>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ustomWidth="1"/>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ustomWidth="1"/>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ustomWidth="1"/>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ustomWidth="1"/>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ustomWidth="1"/>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ustomWidth="1"/>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ustomWidth="1"/>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ustomWidth="1"/>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ustomWidth="1"/>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ustomWidth="1"/>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ustomWidth="1"/>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ustomWidth="1"/>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ustomWidth="1"/>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ustomWidth="1"/>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ustomWidth="1"/>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ustomWidth="1"/>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ustomWidth="1"/>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ustomWidth="1"/>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ustomWidth="1"/>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ustomWidth="1"/>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ustomWidth="1"/>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ustomWidth="1"/>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ustomWidth="1"/>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ustomWidth="1"/>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ustomWidth="1"/>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ustomWidth="1"/>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ustomWidth="1"/>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ustomWidth="1"/>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ustomWidth="1"/>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ustomWidth="1"/>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ustomWidth="1"/>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ustomWidth="1"/>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ustomWidth="1"/>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ustomWidth="1"/>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ustomWidth="1"/>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ustomWidth="1"/>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ustomWidth="1"/>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ustomWidth="1"/>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ustomWidth="1"/>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ustomWidth="1"/>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ustomWidth="1"/>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ustomWidth="1"/>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ustomWidth="1"/>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ustomWidth="1"/>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ustomWidth="1"/>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ustomWidth="1"/>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ustomWidth="1"/>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ustomWidth="1"/>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ustomWidth="1"/>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ustomWidth="1"/>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ustomWidth="1"/>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ustomWidth="1"/>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ustomWidth="1"/>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ustomWidth="1"/>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ustomWidth="1"/>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ustomWidth="1"/>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ustomWidth="1"/>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ustomWidth="1"/>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ustomWidth="1"/>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ustomWidth="1"/>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ustomWidth="1"/>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ustomWidth="1"/>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ustomWidth="1"/>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ustomWidth="1"/>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ustomWidth="1"/>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ustomWidth="1"/>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ustomWidth="1"/>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ustomWidth="1"/>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ustomWidth="1"/>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ustomWidth="1"/>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ustomWidth="1"/>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ustomWidth="1"/>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ustomWidth="1"/>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ustomWidth="1"/>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ustomWidth="1"/>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ustomWidth="1"/>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ustomWidth="1"/>
  </cols>
  <sheetData>
    <row r="1" spans="2:34" s="40" customFormat="1" ht="15" customHeight="1" x14ac:dyDescent="0.15">
      <c r="B1" s="988" t="s">
        <v>642</v>
      </c>
      <c r="C1" s="990"/>
      <c r="D1" s="125"/>
      <c r="E1" s="126"/>
      <c r="F1" s="127"/>
      <c r="G1" s="275"/>
      <c r="H1" s="275"/>
      <c r="I1" s="276"/>
      <c r="J1" s="275"/>
      <c r="K1" s="275"/>
      <c r="L1" s="853" t="s">
        <v>48</v>
      </c>
      <c r="Q1" s="41"/>
      <c r="R1" s="42"/>
      <c r="Y1" s="43"/>
      <c r="AB1" s="44"/>
    </row>
    <row r="2" spans="2:34" s="40" customFormat="1" ht="15" customHeight="1" x14ac:dyDescent="0.15">
      <c r="C2" s="225"/>
      <c r="D2" s="45"/>
      <c r="E2" s="46"/>
      <c r="F2" s="47"/>
      <c r="G2" s="277"/>
      <c r="H2" s="278"/>
      <c r="I2" s="51"/>
      <c r="J2" s="279"/>
      <c r="K2" s="279"/>
      <c r="L2" s="278"/>
      <c r="Q2" s="48"/>
      <c r="V2" s="49"/>
      <c r="X2" s="43"/>
      <c r="AA2" s="44"/>
    </row>
    <row r="3" spans="2:34" s="40" customFormat="1" ht="15" customHeight="1" x14ac:dyDescent="0.2">
      <c r="B3" s="50" t="s">
        <v>2</v>
      </c>
      <c r="C3" s="938" t="e">
        <f>IF([17]CANOPY!C3="","",[17]CANOPY!C3)</f>
        <v>#REF!</v>
      </c>
      <c r="D3" s="990"/>
      <c r="E3" s="129"/>
      <c r="F3" s="132" t="s">
        <v>4</v>
      </c>
      <c r="G3" s="938" t="e">
        <f>IF([17]CANOPY!G3="","",[17]CANOPY!G3)</f>
        <v>#REF!</v>
      </c>
      <c r="H3" s="990"/>
      <c r="I3" s="51"/>
      <c r="J3" s="279"/>
      <c r="K3" s="279"/>
      <c r="L3" s="278"/>
      <c r="Q3" s="48"/>
      <c r="X3" s="43"/>
      <c r="AA3" s="44"/>
    </row>
    <row r="4" spans="2:34" s="40" customFormat="1" ht="15" customHeight="1" x14ac:dyDescent="0.2">
      <c r="C4" s="385"/>
      <c r="D4" s="386"/>
      <c r="E4" s="133"/>
      <c r="F4" s="134"/>
      <c r="G4" s="385"/>
      <c r="H4" s="385"/>
      <c r="I4" s="51"/>
      <c r="J4" s="279"/>
      <c r="K4" s="279"/>
      <c r="L4" s="278"/>
      <c r="Q4" s="48"/>
      <c r="X4" s="43"/>
      <c r="AA4" s="44"/>
    </row>
    <row r="5" spans="2:34" s="40" customFormat="1" ht="15" customHeight="1" x14ac:dyDescent="0.2">
      <c r="B5" s="50" t="s">
        <v>6</v>
      </c>
      <c r="C5" s="986" t="e">
        <f>IF([17]CANOPY!C5="","",[17]CANOPY!C5)</f>
        <v>#REF!</v>
      </c>
      <c r="D5" s="990"/>
      <c r="E5" s="131"/>
      <c r="F5" s="132" t="s">
        <v>8</v>
      </c>
      <c r="G5" s="938" t="e">
        <f>IF([17]CANOPY!G5="","",[17]CANOPY!G5)</f>
        <v>#REF!</v>
      </c>
      <c r="H5" s="990"/>
      <c r="I5" s="51"/>
      <c r="J5" s="279"/>
      <c r="K5" s="279"/>
      <c r="L5" s="278"/>
      <c r="N5" s="52"/>
      <c r="O5" s="52"/>
      <c r="Q5" s="48"/>
      <c r="R5" s="49"/>
      <c r="X5" s="43"/>
      <c r="AA5" s="44"/>
    </row>
    <row r="6" spans="2:34" s="40" customFormat="1" ht="15" customHeight="1" x14ac:dyDescent="0.2">
      <c r="B6" s="50"/>
      <c r="C6" s="240"/>
      <c r="D6" s="385"/>
      <c r="E6" s="135"/>
      <c r="F6" s="134"/>
      <c r="G6" s="385"/>
      <c r="H6" s="385"/>
      <c r="I6" s="51"/>
      <c r="J6" s="279"/>
      <c r="K6" s="279"/>
      <c r="L6" s="278"/>
      <c r="N6" s="52"/>
      <c r="O6" s="52"/>
      <c r="Q6" s="48"/>
      <c r="R6" s="49"/>
      <c r="X6" s="53"/>
      <c r="AA6" s="44"/>
    </row>
    <row r="7" spans="2:34" s="40" customFormat="1" ht="15" customHeight="1" x14ac:dyDescent="0.2">
      <c r="B7" s="75" t="s">
        <v>10</v>
      </c>
      <c r="C7" s="986" t="e">
        <f>IF([17]CANOPY!C7="","",[17]CANOPY!C7)</f>
        <v>#REF!</v>
      </c>
      <c r="D7" s="990"/>
      <c r="E7" s="135"/>
      <c r="F7" s="136" t="s">
        <v>12</v>
      </c>
      <c r="G7" s="939" t="e">
        <f>IF([17]CANOPY!G7="","",[17]CANOPY!G7)</f>
        <v>#REF!</v>
      </c>
      <c r="H7" s="990"/>
      <c r="I7" s="51"/>
      <c r="J7" s="280"/>
      <c r="K7" s="280" t="s">
        <v>14</v>
      </c>
      <c r="L7" s="484" t="e">
        <f>IF([17]CANOPY!O7="","",[17]CANOPY!O7)</f>
        <v>#REF!</v>
      </c>
      <c r="M7" s="964" t="s">
        <v>51</v>
      </c>
      <c r="N7" s="990"/>
      <c r="O7" s="990"/>
      <c r="Q7" s="48"/>
      <c r="R7" s="49"/>
      <c r="X7" s="53"/>
      <c r="AA7" s="44"/>
    </row>
    <row r="8" spans="2:34" s="40" customFormat="1" ht="15" customHeight="1" x14ac:dyDescent="0.15">
      <c r="C8" s="51"/>
      <c r="D8" s="51"/>
      <c r="E8" s="43"/>
      <c r="F8" s="47"/>
      <c r="G8" s="279"/>
      <c r="H8" s="278"/>
      <c r="I8" s="51"/>
      <c r="J8" s="279"/>
      <c r="K8" s="279"/>
      <c r="L8" s="278"/>
      <c r="Q8" s="48"/>
      <c r="X8" s="53"/>
      <c r="AA8" s="44"/>
    </row>
    <row r="9" spans="2:34" s="40" customFormat="1" ht="15" customHeight="1" x14ac:dyDescent="0.15">
      <c r="B9" s="38" t="s">
        <v>15</v>
      </c>
      <c r="C9" s="831">
        <v>0</v>
      </c>
      <c r="D9" s="294">
        <f>IF(C9=0,0,(SUBTOTAL(9,J15:J62)/(1-C9))-J9)</f>
        <v>0</v>
      </c>
      <c r="E9" s="124"/>
      <c r="F9" s="124"/>
      <c r="H9" s="25">
        <f>SUBTOTAL(9,H11:H62)</f>
        <v>1368</v>
      </c>
      <c r="I9" s="845">
        <f>IF(L9=0,"-",L9/J9)</f>
        <v>0.33</v>
      </c>
      <c r="J9" s="25">
        <f>SUBTOTAL(9,J11:J62)</f>
        <v>2041.7910447761196</v>
      </c>
      <c r="K9" s="381">
        <f>SUBTOTAL(9,K11:K62)</f>
        <v>2041.7910447761196</v>
      </c>
      <c r="L9" s="25">
        <f>SUBTOTAL(9,L11:L62)</f>
        <v>673.79104477611952</v>
      </c>
      <c r="S9" s="48"/>
      <c r="V9" s="48"/>
      <c r="Y9" s="48"/>
      <c r="AH9" s="48"/>
    </row>
    <row r="10" spans="2:34" s="40" customFormat="1" ht="15" customHeight="1" x14ac:dyDescent="0.15">
      <c r="B10" s="236" t="s">
        <v>15</v>
      </c>
      <c r="C10" s="236" t="s">
        <v>16</v>
      </c>
      <c r="D10" s="236" t="s">
        <v>17</v>
      </c>
      <c r="E10" s="2"/>
      <c r="F10" s="2"/>
      <c r="G10" s="1" t="s">
        <v>52</v>
      </c>
      <c r="H10" s="2" t="s">
        <v>18</v>
      </c>
      <c r="I10" s="3" t="s">
        <v>19</v>
      </c>
      <c r="J10" s="4" t="s">
        <v>20</v>
      </c>
      <c r="K10" s="4" t="s">
        <v>21</v>
      </c>
      <c r="L10" s="5" t="s">
        <v>22</v>
      </c>
      <c r="P10" s="490"/>
      <c r="S10" s="48"/>
      <c r="V10" s="48"/>
      <c r="Y10" s="48"/>
      <c r="AH10" s="48"/>
    </row>
    <row r="11" spans="2:34" ht="15" customHeight="1" x14ac:dyDescent="0.15">
      <c r="D11" s="55"/>
    </row>
    <row r="12" spans="2:34" ht="15" customHeight="1" x14ac:dyDescent="0.15">
      <c r="B12" s="56" t="s">
        <v>575</v>
      </c>
      <c r="D12" s="55"/>
      <c r="E12" s="124"/>
      <c r="F12" s="124"/>
    </row>
    <row r="13" spans="2:34" ht="15" customHeight="1" x14ac:dyDescent="0.15">
      <c r="B13" s="406" t="s">
        <v>643</v>
      </c>
      <c r="C13" s="38" t="s">
        <v>577</v>
      </c>
      <c r="D13" s="57"/>
      <c r="E13" s="307" t="s">
        <v>19</v>
      </c>
      <c r="F13" s="308">
        <v>0.4</v>
      </c>
      <c r="G13" s="58"/>
      <c r="H13" s="58">
        <f>SUBTOTAL(9,H15:H50)</f>
        <v>0</v>
      </c>
      <c r="I13" s="39" t="str">
        <f>IF(H13=0,"-",L13/J13)</f>
        <v>-</v>
      </c>
      <c r="J13" s="58">
        <f>SUBTOTAL(9,J15:J50)</f>
        <v>0</v>
      </c>
      <c r="K13" s="382">
        <f>SUBTOTAL(9,K15:K50)</f>
        <v>0</v>
      </c>
      <c r="L13" s="58">
        <f>SUBTOTAL(9,L15:L50)</f>
        <v>0</v>
      </c>
    </row>
    <row r="14" spans="2:34" ht="15" customHeight="1" x14ac:dyDescent="0.15">
      <c r="B14" s="35" t="s">
        <v>333</v>
      </c>
      <c r="C14" s="54" t="s">
        <v>479</v>
      </c>
      <c r="D14" s="54" t="s">
        <v>478</v>
      </c>
      <c r="E14" s="181"/>
      <c r="F14" s="182"/>
      <c r="G14" s="183"/>
      <c r="H14" s="183"/>
      <c r="I14" s="184"/>
      <c r="J14" s="183"/>
      <c r="K14" s="183"/>
      <c r="L14" s="183"/>
    </row>
    <row r="15" spans="2:34" ht="15" customHeight="1" x14ac:dyDescent="0.15">
      <c r="B15" s="204" t="s">
        <v>578</v>
      </c>
      <c r="C15" s="79" t="s">
        <v>374</v>
      </c>
      <c r="D15" s="82"/>
      <c r="E15" s="77"/>
      <c r="F15" s="77"/>
      <c r="G15" s="297">
        <f>IF(C13="external",VLOOKUP(C15,'Base Costs'!$AP$6:$AR$16,2,FALSE),VLOOKUP(C15,'Base Costs'!$AP$6:$AR$16,3,FALSE))</f>
        <v>0</v>
      </c>
      <c r="H15" s="295">
        <f t="shared" ref="H15:H23" si="0">D15*G15</f>
        <v>0</v>
      </c>
      <c r="I15" s="380">
        <v>0.44</v>
      </c>
      <c r="J15" s="234">
        <f t="shared" ref="J15:J23" si="1">H15/(1-I15)*(1+$C$9)</f>
        <v>0</v>
      </c>
      <c r="K15" s="295">
        <f>J15*VLOOKUP($B$9,'Base Costs'!$A$32:$B$37,2,FALSE)</f>
        <v>0</v>
      </c>
      <c r="L15" s="296">
        <f t="shared" ref="L15:L37" si="2">K15-H15</f>
        <v>0</v>
      </c>
    </row>
    <row r="16" spans="2:34" ht="15" customHeight="1" x14ac:dyDescent="0.15">
      <c r="B16" s="204" t="s">
        <v>644</v>
      </c>
      <c r="C16" s="79" t="s">
        <v>374</v>
      </c>
      <c r="D16" s="82"/>
      <c r="E16" s="77"/>
      <c r="F16" s="77"/>
      <c r="G16" s="297">
        <f>IF(C13="external",VLOOKUP(C16,'Base Costs'!$AP$20:$AR$30,2,FALSE),VLOOKUP(C16,'Base Costs'!$AP$20:$AR$30,3,FALSE))</f>
        <v>0</v>
      </c>
      <c r="H16" s="295">
        <f t="shared" si="0"/>
        <v>0</v>
      </c>
      <c r="I16" s="380">
        <v>0.44</v>
      </c>
      <c r="J16" s="234">
        <f t="shared" si="1"/>
        <v>0</v>
      </c>
      <c r="K16" s="295">
        <f>J16*VLOOKUP($B$9,'Base Costs'!$A$32:$B$37,2,FALSE)</f>
        <v>0</v>
      </c>
      <c r="L16" s="296">
        <f t="shared" si="2"/>
        <v>0</v>
      </c>
    </row>
    <row r="17" spans="2:13" ht="15" customHeight="1" x14ac:dyDescent="0.15">
      <c r="B17" s="204" t="s">
        <v>645</v>
      </c>
      <c r="C17" s="79" t="s">
        <v>374</v>
      </c>
      <c r="D17" s="82"/>
      <c r="E17" s="77"/>
      <c r="F17" s="77"/>
      <c r="G17" s="297">
        <f>IF(C13="external",VLOOKUP(C17,'Base Costs'!$AP$33:$AR$43,2,FALSE),VLOOKUP(C17,'Base Costs'!$AP$33:$AR$43,3,FALSE))</f>
        <v>0</v>
      </c>
      <c r="H17" s="295">
        <f t="shared" si="0"/>
        <v>0</v>
      </c>
      <c r="I17" s="380">
        <v>0.44</v>
      </c>
      <c r="J17" s="234">
        <f t="shared" si="1"/>
        <v>0</v>
      </c>
      <c r="K17" s="295">
        <f>J17*VLOOKUP($B$9,'Base Costs'!$A$32:$B$37,2,FALSE)</f>
        <v>0</v>
      </c>
      <c r="L17" s="296">
        <f t="shared" si="2"/>
        <v>0</v>
      </c>
    </row>
    <row r="18" spans="2:13" ht="15" customHeight="1" x14ac:dyDescent="0.15">
      <c r="B18" s="204" t="s">
        <v>646</v>
      </c>
      <c r="C18" s="79" t="s">
        <v>374</v>
      </c>
      <c r="D18" s="82"/>
      <c r="E18" s="77"/>
      <c r="F18" s="77"/>
      <c r="G18" s="297">
        <f>IF(C13="external",VLOOKUP(C18,'Base Costs'!$AP$46:$AR$56,2,FALSE),VLOOKUP(C18,'Base Costs'!$AP$46:$AR$56,3,FALSE))</f>
        <v>0</v>
      </c>
      <c r="H18" s="295">
        <f t="shared" si="0"/>
        <v>0</v>
      </c>
      <c r="I18" s="380">
        <v>0.44</v>
      </c>
      <c r="J18" s="234">
        <f t="shared" si="1"/>
        <v>0</v>
      </c>
      <c r="K18" s="295">
        <f>J18*VLOOKUP($B$9,'Base Costs'!$A$32:$B$37,2,FALSE)</f>
        <v>0</v>
      </c>
      <c r="L18" s="296">
        <f t="shared" si="2"/>
        <v>0</v>
      </c>
    </row>
    <row r="19" spans="2:13" s="60" customFormat="1" ht="15" customHeight="1" x14ac:dyDescent="0.15">
      <c r="B19" s="204" t="s">
        <v>583</v>
      </c>
      <c r="C19" s="79" t="s">
        <v>374</v>
      </c>
      <c r="D19" s="82"/>
      <c r="E19" s="78"/>
      <c r="F19" s="78"/>
      <c r="G19" s="297">
        <f>IF(C14="external",VLOOKUP(C19,'Base Costs'!$AP$59:$AR$69,2,FALSE),VLOOKUP(C19,'Base Costs'!$AP$59:$AR$69,3,FALSE))</f>
        <v>0</v>
      </c>
      <c r="H19" s="295">
        <f t="shared" si="0"/>
        <v>0</v>
      </c>
      <c r="I19" s="380">
        <v>0.44</v>
      </c>
      <c r="J19" s="234">
        <f t="shared" si="1"/>
        <v>0</v>
      </c>
      <c r="K19" s="295">
        <f>J19*VLOOKUP($B$9,'Base Costs'!$A$32:$B$37,2,FALSE)</f>
        <v>0</v>
      </c>
      <c r="L19" s="296">
        <f t="shared" si="2"/>
        <v>0</v>
      </c>
    </row>
    <row r="20" spans="2:13" s="60" customFormat="1" ht="15" customHeight="1" x14ac:dyDescent="0.15">
      <c r="B20" s="204" t="s">
        <v>647</v>
      </c>
      <c r="C20" s="79" t="s">
        <v>374</v>
      </c>
      <c r="D20" s="82"/>
      <c r="E20" s="78"/>
      <c r="F20" s="78"/>
      <c r="G20" s="297">
        <f>IF(C13="external",VLOOKUP(C20,'Base Costs'!$AP$72:$AR$82,2,FALSE),VLOOKUP(C20,'Base Costs'!$AP$72:$AR$82,3,FALSE))</f>
        <v>0</v>
      </c>
      <c r="H20" s="295">
        <f t="shared" si="0"/>
        <v>0</v>
      </c>
      <c r="I20" s="380">
        <v>0.44</v>
      </c>
      <c r="J20" s="234">
        <f t="shared" si="1"/>
        <v>0</v>
      </c>
      <c r="K20" s="295">
        <f>J20*VLOOKUP($B$9,'Base Costs'!$A$32:$B$37,2,FALSE)</f>
        <v>0</v>
      </c>
      <c r="L20" s="296">
        <f t="shared" si="2"/>
        <v>0</v>
      </c>
    </row>
    <row r="21" spans="2:13" s="60" customFormat="1" ht="15" customHeight="1" x14ac:dyDescent="0.15">
      <c r="B21" s="204" t="s">
        <v>648</v>
      </c>
      <c r="C21" s="79" t="s">
        <v>374</v>
      </c>
      <c r="D21" s="82"/>
      <c r="E21" s="78"/>
      <c r="F21" s="78"/>
      <c r="G21" s="297">
        <f>IF(C13="external",VLOOKUP(C21,'Base Costs'!$AP$85:$AR$95,2,FALSE),VLOOKUP(C21,'Base Costs'!$AP$85:$AR$95,3,FALSE))</f>
        <v>0</v>
      </c>
      <c r="H21" s="295">
        <f t="shared" si="0"/>
        <v>0</v>
      </c>
      <c r="I21" s="380">
        <v>0.44</v>
      </c>
      <c r="J21" s="234">
        <f t="shared" si="1"/>
        <v>0</v>
      </c>
      <c r="K21" s="295">
        <f>J21*VLOOKUP($B$9,'Base Costs'!$A$32:$B$37,2,FALSE)</f>
        <v>0</v>
      </c>
      <c r="L21" s="296">
        <f t="shared" si="2"/>
        <v>0</v>
      </c>
    </row>
    <row r="22" spans="2:13" s="60" customFormat="1" ht="15" customHeight="1" x14ac:dyDescent="0.15">
      <c r="B22" s="204" t="s">
        <v>585</v>
      </c>
      <c r="C22" s="79" t="s">
        <v>374</v>
      </c>
      <c r="D22" s="82"/>
      <c r="E22" s="78"/>
      <c r="F22" s="78"/>
      <c r="G22" s="297">
        <f>IF(C13="external",VLOOKUP(C22,'Base Costs'!$AP$98:$AR$108,2,FALSE),VLOOKUP(C22,'Base Costs'!$AP$98:$AR$108,3,FALSE))</f>
        <v>0</v>
      </c>
      <c r="H22" s="295">
        <f t="shared" si="0"/>
        <v>0</v>
      </c>
      <c r="I22" s="380">
        <v>0.44</v>
      </c>
      <c r="J22" s="234">
        <f t="shared" si="1"/>
        <v>0</v>
      </c>
      <c r="K22" s="295">
        <f>J22*VLOOKUP($B$9,'Base Costs'!$A$32:$B$37,2,FALSE)</f>
        <v>0</v>
      </c>
      <c r="L22" s="296">
        <f t="shared" si="2"/>
        <v>0</v>
      </c>
    </row>
    <row r="23" spans="2:13" s="60" customFormat="1" ht="15" customHeight="1" x14ac:dyDescent="0.15">
      <c r="B23" s="204" t="s">
        <v>649</v>
      </c>
      <c r="C23" s="79" t="s">
        <v>374</v>
      </c>
      <c r="D23" s="82"/>
      <c r="E23" s="78"/>
      <c r="F23" s="78"/>
      <c r="G23" s="297">
        <f>IF(C14="external",VLOOKUP(C23,'Base Costs'!$AP$111:$AR$121,2,FALSE),VLOOKUP(C23,'Base Costs'!$AP$111:$AR$121,3,FALSE))</f>
        <v>0</v>
      </c>
      <c r="H23" s="295">
        <f t="shared" si="0"/>
        <v>0</v>
      </c>
      <c r="I23" s="380">
        <v>0.44</v>
      </c>
      <c r="J23" s="234">
        <f t="shared" si="1"/>
        <v>0</v>
      </c>
      <c r="K23" s="295">
        <f>J23*VLOOKUP($B$9,'Base Costs'!$A$32:$B$37,2,FALSE)</f>
        <v>0</v>
      </c>
      <c r="L23" s="296">
        <f t="shared" si="2"/>
        <v>0</v>
      </c>
    </row>
    <row r="24" spans="2:13" ht="15" customHeight="1" x14ac:dyDescent="0.15">
      <c r="B24" s="204"/>
      <c r="C24" s="83"/>
      <c r="D24" s="84"/>
      <c r="E24" s="83"/>
      <c r="F24" s="83"/>
      <c r="G24" s="282"/>
      <c r="H24" s="282"/>
      <c r="I24" s="380">
        <v>0.44</v>
      </c>
      <c r="J24" s="282"/>
      <c r="K24" s="295">
        <f>J24*VLOOKUP($B$9,'Base Costs'!$A$32:$B$37,2,FALSE)</f>
        <v>0</v>
      </c>
      <c r="L24" s="296">
        <f t="shared" si="2"/>
        <v>0</v>
      </c>
    </row>
    <row r="25" spans="2:13" ht="15" customHeight="1" x14ac:dyDescent="0.15">
      <c r="B25" s="856" t="s">
        <v>586</v>
      </c>
      <c r="C25" s="887"/>
      <c r="D25" s="888"/>
      <c r="E25" s="889"/>
      <c r="F25" s="889"/>
      <c r="G25" s="891">
        <v>50</v>
      </c>
      <c r="H25" s="872">
        <f t="shared" ref="H25:H30" si="3">D25*G25</f>
        <v>0</v>
      </c>
      <c r="I25" s="890">
        <v>0.44</v>
      </c>
      <c r="J25" s="873">
        <f t="shared" ref="J25:J37" si="4">H25/(1-I25)*(1+$C$9)</f>
        <v>0</v>
      </c>
      <c r="K25" s="872">
        <f>J25*VLOOKUP($B$9,'Base Costs'!$A$32:$B$37,2,FALSE)</f>
        <v>0</v>
      </c>
      <c r="L25" s="874">
        <f t="shared" si="2"/>
        <v>0</v>
      </c>
      <c r="M25" s="892" t="s">
        <v>336</v>
      </c>
    </row>
    <row r="26" spans="2:13" s="60" customFormat="1" ht="15" customHeight="1" x14ac:dyDescent="0.15">
      <c r="B26" s="204" t="s">
        <v>492</v>
      </c>
      <c r="C26" s="85"/>
      <c r="D26" s="82"/>
      <c r="E26" s="68"/>
      <c r="F26" s="68"/>
      <c r="G26" s="297"/>
      <c r="H26" s="295">
        <f t="shared" si="3"/>
        <v>0</v>
      </c>
      <c r="I26" s="380">
        <v>0.44</v>
      </c>
      <c r="J26" s="234">
        <f t="shared" si="4"/>
        <v>0</v>
      </c>
      <c r="K26" s="295">
        <f>J26*VLOOKUP($B$9,'Base Costs'!$A$32:$B$37,2,FALSE)</f>
        <v>0</v>
      </c>
      <c r="L26" s="296">
        <f t="shared" si="2"/>
        <v>0</v>
      </c>
    </row>
    <row r="27" spans="2:13" s="60" customFormat="1" ht="15" customHeight="1" x14ac:dyDescent="0.15">
      <c r="B27" s="204"/>
      <c r="C27" s="87"/>
      <c r="D27" s="88">
        <v>0</v>
      </c>
      <c r="E27" s="387"/>
      <c r="F27" s="68"/>
      <c r="G27" s="297"/>
      <c r="H27" s="295">
        <f t="shared" si="3"/>
        <v>0</v>
      </c>
      <c r="I27" s="380">
        <v>0.44</v>
      </c>
      <c r="J27" s="234">
        <f t="shared" si="4"/>
        <v>0</v>
      </c>
      <c r="K27" s="295">
        <f>J27*VLOOKUP($B$9,'Base Costs'!$A$32:$B$37,2,FALSE)</f>
        <v>0</v>
      </c>
      <c r="L27" s="296">
        <f t="shared" si="2"/>
        <v>0</v>
      </c>
    </row>
    <row r="28" spans="2:13" s="60" customFormat="1" ht="15" customHeight="1" x14ac:dyDescent="0.15">
      <c r="B28" s="204" t="s">
        <v>587</v>
      </c>
      <c r="C28" s="388" t="s">
        <v>588</v>
      </c>
      <c r="D28" s="389"/>
      <c r="E28" s="78" t="s">
        <v>589</v>
      </c>
      <c r="F28" s="78"/>
      <c r="G28" s="297">
        <v>103</v>
      </c>
      <c r="H28" s="295">
        <f t="shared" si="3"/>
        <v>0</v>
      </c>
      <c r="I28" s="380">
        <v>0.44</v>
      </c>
      <c r="J28" s="234">
        <f t="shared" si="4"/>
        <v>0</v>
      </c>
      <c r="K28" s="295">
        <f>J28*VLOOKUP($B$9,'Base Costs'!$A$32:$B$37,2,FALSE)</f>
        <v>0</v>
      </c>
      <c r="L28" s="296">
        <f t="shared" si="2"/>
        <v>0</v>
      </c>
    </row>
    <row r="29" spans="2:13" s="60" customFormat="1" ht="15" customHeight="1" x14ac:dyDescent="0.15">
      <c r="B29" s="204" t="s">
        <v>587</v>
      </c>
      <c r="C29" s="390" t="s">
        <v>590</v>
      </c>
      <c r="D29" s="389"/>
      <c r="E29" s="78" t="s">
        <v>589</v>
      </c>
      <c r="F29" s="78"/>
      <c r="G29" s="297">
        <v>135</v>
      </c>
      <c r="H29" s="295">
        <f t="shared" si="3"/>
        <v>0</v>
      </c>
      <c r="I29" s="380">
        <v>0.44</v>
      </c>
      <c r="J29" s="234">
        <f t="shared" si="4"/>
        <v>0</v>
      </c>
      <c r="K29" s="295">
        <f>J29*VLOOKUP($B$9,'Base Costs'!$A$32:$B$37,2,FALSE)</f>
        <v>0</v>
      </c>
      <c r="L29" s="296">
        <f t="shared" si="2"/>
        <v>0</v>
      </c>
    </row>
    <row r="30" spans="2:13" s="60" customFormat="1" ht="15" customHeight="1" x14ac:dyDescent="0.15">
      <c r="B30" s="204"/>
      <c r="C30" s="76"/>
      <c r="D30" s="86">
        <v>0</v>
      </c>
      <c r="E30" s="78"/>
      <c r="F30" s="78"/>
      <c r="G30" s="297"/>
      <c r="H30" s="295">
        <f t="shared" si="3"/>
        <v>0</v>
      </c>
      <c r="I30" s="380">
        <v>0.44</v>
      </c>
      <c r="J30" s="234">
        <f t="shared" si="4"/>
        <v>0</v>
      </c>
      <c r="K30" s="295">
        <f>J30*VLOOKUP($B$9,'Base Costs'!$A$32:$B$37,2,FALSE)</f>
        <v>0</v>
      </c>
      <c r="L30" s="296">
        <f t="shared" si="2"/>
        <v>0</v>
      </c>
    </row>
    <row r="31" spans="2:13" s="60" customFormat="1" ht="15" hidden="1" customHeight="1" x14ac:dyDescent="0.15">
      <c r="B31" s="232"/>
      <c r="C31" s="76"/>
      <c r="D31" s="86"/>
      <c r="E31" s="78"/>
      <c r="F31" s="78"/>
      <c r="G31" s="297"/>
      <c r="H31" s="295"/>
      <c r="I31" s="380">
        <v>0.44</v>
      </c>
      <c r="J31" s="234">
        <f t="shared" si="4"/>
        <v>0</v>
      </c>
      <c r="K31" s="295">
        <f>J31*VLOOKUP($B$9,'Base Costs'!$A$32:$B$37,2,FALSE)</f>
        <v>0</v>
      </c>
      <c r="L31" s="296">
        <f t="shared" si="2"/>
        <v>0</v>
      </c>
    </row>
    <row r="32" spans="2:13" s="60" customFormat="1" ht="15" hidden="1" customHeight="1" x14ac:dyDescent="0.15">
      <c r="B32" s="232" t="s">
        <v>591</v>
      </c>
      <c r="C32" s="376"/>
      <c r="D32" s="82">
        <v>1</v>
      </c>
      <c r="E32" s="78"/>
      <c r="F32" s="78"/>
      <c r="G32" s="297">
        <f>C32</f>
        <v>0</v>
      </c>
      <c r="H32" s="295">
        <f t="shared" ref="H32:H37" si="5">D32*G32</f>
        <v>0</v>
      </c>
      <c r="I32" s="380">
        <v>0.44</v>
      </c>
      <c r="J32" s="234">
        <f t="shared" si="4"/>
        <v>0</v>
      </c>
      <c r="K32" s="295">
        <f>J32*VLOOKUP($B$9,'Base Costs'!$A$32:$B$37,2,FALSE)</f>
        <v>0</v>
      </c>
      <c r="L32" s="296">
        <f t="shared" si="2"/>
        <v>0</v>
      </c>
    </row>
    <row r="33" spans="2:20" s="60" customFormat="1" ht="15" hidden="1" customHeight="1" x14ac:dyDescent="0.15">
      <c r="B33" s="232" t="s">
        <v>592</v>
      </c>
      <c r="C33" s="376"/>
      <c r="D33" s="391">
        <v>1</v>
      </c>
      <c r="E33" s="78"/>
      <c r="F33" s="78"/>
      <c r="G33" s="297">
        <f>C33</f>
        <v>0</v>
      </c>
      <c r="H33" s="295">
        <f t="shared" si="5"/>
        <v>0</v>
      </c>
      <c r="I33" s="380">
        <v>0.44</v>
      </c>
      <c r="J33" s="234">
        <f t="shared" si="4"/>
        <v>0</v>
      </c>
      <c r="K33" s="295">
        <f>J33*VLOOKUP($B$9,'Base Costs'!$A$32:$B$37,2,FALSE)</f>
        <v>0</v>
      </c>
      <c r="L33" s="296">
        <f t="shared" si="2"/>
        <v>0</v>
      </c>
    </row>
    <row r="34" spans="2:20" s="60" customFormat="1" ht="15" customHeight="1" x14ac:dyDescent="0.15">
      <c r="B34" s="390" t="s">
        <v>593</v>
      </c>
      <c r="C34" s="392" t="s">
        <v>594</v>
      </c>
      <c r="D34" s="392"/>
      <c r="E34" s="390"/>
      <c r="F34" s="392"/>
      <c r="G34" s="297">
        <f>SUM(H15:H23)*0.25</f>
        <v>0</v>
      </c>
      <c r="H34" s="295">
        <f t="shared" si="5"/>
        <v>0</v>
      </c>
      <c r="I34" s="380">
        <v>0.44</v>
      </c>
      <c r="J34" s="234">
        <f t="shared" si="4"/>
        <v>0</v>
      </c>
      <c r="K34" s="295">
        <f>J34*VLOOKUP($B$9,'Base Costs'!$A$32:$B$37,2,FALSE)</f>
        <v>0</v>
      </c>
      <c r="L34" s="296">
        <f t="shared" si="2"/>
        <v>0</v>
      </c>
    </row>
    <row r="35" spans="2:20" s="60" customFormat="1" ht="15" customHeight="1" x14ac:dyDescent="0.15">
      <c r="B35" s="390" t="s">
        <v>595</v>
      </c>
      <c r="C35" s="392"/>
      <c r="D35" s="392"/>
      <c r="E35" s="390"/>
      <c r="F35" s="392"/>
      <c r="G35" s="297">
        <v>107</v>
      </c>
      <c r="H35" s="295">
        <f t="shared" si="5"/>
        <v>0</v>
      </c>
      <c r="I35" s="380">
        <v>0.44</v>
      </c>
      <c r="J35" s="234">
        <f t="shared" si="4"/>
        <v>0</v>
      </c>
      <c r="K35" s="295">
        <f>J35*VLOOKUP($B$9,'Base Costs'!$A$32:$B$37,2,FALSE)</f>
        <v>0</v>
      </c>
      <c r="L35" s="296">
        <f t="shared" si="2"/>
        <v>0</v>
      </c>
    </row>
    <row r="36" spans="2:20" s="60" customFormat="1" ht="15" customHeight="1" x14ac:dyDescent="0.15">
      <c r="B36" s="390" t="s">
        <v>596</v>
      </c>
      <c r="C36" s="392"/>
      <c r="D36" s="392"/>
      <c r="E36" s="390"/>
      <c r="F36" s="392"/>
      <c r="G36" s="297">
        <v>30</v>
      </c>
      <c r="H36" s="295">
        <f t="shared" si="5"/>
        <v>0</v>
      </c>
      <c r="I36" s="380">
        <v>0.44</v>
      </c>
      <c r="J36" s="234">
        <f t="shared" si="4"/>
        <v>0</v>
      </c>
      <c r="K36" s="295">
        <f>J36*VLOOKUP($B$9,'Base Costs'!$A$32:$B$37,2,FALSE)</f>
        <v>0</v>
      </c>
      <c r="L36" s="296">
        <f t="shared" si="2"/>
        <v>0</v>
      </c>
    </row>
    <row r="37" spans="2:20" s="60" customFormat="1" ht="15" customHeight="1" x14ac:dyDescent="0.15">
      <c r="B37" s="390" t="s">
        <v>597</v>
      </c>
      <c r="C37" s="390"/>
      <c r="D37" s="392"/>
      <c r="E37" s="390"/>
      <c r="F37" s="392" t="s">
        <v>598</v>
      </c>
      <c r="G37" s="297">
        <v>0</v>
      </c>
      <c r="H37" s="295">
        <f t="shared" si="5"/>
        <v>0</v>
      </c>
      <c r="I37" s="380">
        <v>0.44</v>
      </c>
      <c r="J37" s="234">
        <f t="shared" si="4"/>
        <v>0</v>
      </c>
      <c r="K37" s="295">
        <f>J37*VLOOKUP($B$9,'Base Costs'!$A$32:$B$37,2,FALSE)</f>
        <v>0</v>
      </c>
      <c r="L37" s="296">
        <f t="shared" si="2"/>
        <v>0</v>
      </c>
    </row>
    <row r="38" spans="2:20" s="60" customFormat="1" ht="15" customHeight="1" x14ac:dyDescent="0.15">
      <c r="B38" s="63"/>
      <c r="D38" s="61"/>
      <c r="E38" s="59"/>
      <c r="F38" s="393"/>
      <c r="G38" s="283"/>
      <c r="H38" s="284"/>
      <c r="I38" s="91"/>
      <c r="J38" s="284"/>
      <c r="K38" s="285"/>
      <c r="L38" s="285"/>
    </row>
    <row r="39" spans="2:20" s="60" customFormat="1" ht="15" customHeight="1" x14ac:dyDescent="0.15">
      <c r="B39" s="390" t="s">
        <v>650</v>
      </c>
      <c r="C39" s="390" t="s">
        <v>651</v>
      </c>
      <c r="D39" s="394"/>
      <c r="E39" s="395"/>
      <c r="F39" s="703" t="s">
        <v>652</v>
      </c>
      <c r="G39" s="705">
        <v>1551</v>
      </c>
      <c r="H39" s="295">
        <f t="shared" ref="H39:H50" si="6">D39*G39</f>
        <v>0</v>
      </c>
      <c r="I39" s="380">
        <v>0.35</v>
      </c>
      <c r="J39" s="234">
        <f t="shared" ref="J39:J50" si="7">H39/(1-I39)*(1+$C$9)</f>
        <v>0</v>
      </c>
      <c r="K39" s="295">
        <f>J39*VLOOKUP($B$9,'Base Costs'!$A$32:$B$37,2,FALSE)</f>
        <v>0</v>
      </c>
      <c r="L39" s="296">
        <f t="shared" ref="L39:L50" si="8">K39-H39</f>
        <v>0</v>
      </c>
    </row>
    <row r="40" spans="2:20" s="60" customFormat="1" ht="15" customHeight="1" x14ac:dyDescent="0.15">
      <c r="B40" s="390" t="s">
        <v>653</v>
      </c>
      <c r="C40" s="390"/>
      <c r="D40" s="396"/>
      <c r="E40" s="397"/>
      <c r="F40" s="703" t="s">
        <v>652</v>
      </c>
      <c r="G40" s="705">
        <v>582</v>
      </c>
      <c r="H40" s="295">
        <f t="shared" si="6"/>
        <v>0</v>
      </c>
      <c r="I40" s="380">
        <v>0.35</v>
      </c>
      <c r="J40" s="234">
        <f t="shared" si="7"/>
        <v>0</v>
      </c>
      <c r="K40" s="295">
        <f>J40*VLOOKUP($B$9,'Base Costs'!$A$32:$B$37,2,FALSE)</f>
        <v>0</v>
      </c>
      <c r="L40" s="296">
        <f t="shared" si="8"/>
        <v>0</v>
      </c>
    </row>
    <row r="41" spans="2:20" s="60" customFormat="1" ht="15" customHeight="1" x14ac:dyDescent="0.15">
      <c r="B41" s="390"/>
      <c r="C41" s="390"/>
      <c r="D41" s="398"/>
      <c r="E41" s="397"/>
      <c r="F41" s="806"/>
      <c r="G41" s="706"/>
      <c r="H41" s="295">
        <f t="shared" si="6"/>
        <v>0</v>
      </c>
      <c r="I41" s="380">
        <v>0</v>
      </c>
      <c r="J41" s="234">
        <f t="shared" si="7"/>
        <v>0</v>
      </c>
      <c r="K41" s="295">
        <f>J41*VLOOKUP($B$9,'Base Costs'!$A$32:$B$37,2,FALSE)</f>
        <v>0</v>
      </c>
      <c r="L41" s="296">
        <f t="shared" si="8"/>
        <v>0</v>
      </c>
      <c r="O41" s="752"/>
      <c r="T41" s="399"/>
    </row>
    <row r="42" spans="2:20" s="60" customFormat="1" ht="15" customHeight="1" x14ac:dyDescent="0.15">
      <c r="B42" s="390"/>
      <c r="C42" s="390"/>
      <c r="D42" s="398"/>
      <c r="E42" s="397"/>
      <c r="F42" s="806"/>
      <c r="G42" s="706"/>
      <c r="H42" s="295">
        <f t="shared" si="6"/>
        <v>0</v>
      </c>
      <c r="I42" s="380">
        <v>0</v>
      </c>
      <c r="J42" s="234">
        <f t="shared" si="7"/>
        <v>0</v>
      </c>
      <c r="K42" s="295">
        <f>J42*VLOOKUP($B$9,'Base Costs'!$A$32:$B$37,2,FALSE)</f>
        <v>0</v>
      </c>
      <c r="L42" s="296">
        <f t="shared" si="8"/>
        <v>0</v>
      </c>
    </row>
    <row r="43" spans="2:20" s="60" customFormat="1" ht="15" customHeight="1" x14ac:dyDescent="0.15">
      <c r="B43" s="390"/>
      <c r="C43" s="390"/>
      <c r="D43" s="398"/>
      <c r="E43" s="397"/>
      <c r="F43" s="806" t="s">
        <v>654</v>
      </c>
      <c r="G43" s="402">
        <v>300</v>
      </c>
      <c r="H43" s="295">
        <f t="shared" si="6"/>
        <v>0</v>
      </c>
      <c r="I43" s="380">
        <v>0</v>
      </c>
      <c r="J43" s="234">
        <f t="shared" si="7"/>
        <v>0</v>
      </c>
      <c r="K43" s="295">
        <f>J43*VLOOKUP($B$9,'Base Costs'!$A$32:$B$37,2,FALSE)</f>
        <v>0</v>
      </c>
      <c r="L43" s="296">
        <f t="shared" si="8"/>
        <v>0</v>
      </c>
    </row>
    <row r="44" spans="2:20" s="60" customFormat="1" ht="15" customHeight="1" x14ac:dyDescent="0.15">
      <c r="B44" s="390" t="s">
        <v>655</v>
      </c>
      <c r="C44" s="390" t="s">
        <v>614</v>
      </c>
      <c r="D44" s="400"/>
      <c r="E44" s="401"/>
      <c r="F44" s="703"/>
      <c r="G44" s="701">
        <v>100</v>
      </c>
      <c r="H44" s="295">
        <f t="shared" si="6"/>
        <v>0</v>
      </c>
      <c r="I44" s="380">
        <v>0.35</v>
      </c>
      <c r="J44" s="234">
        <f t="shared" si="7"/>
        <v>0</v>
      </c>
      <c r="K44" s="295">
        <f>J44*VLOOKUP($B$9,'Base Costs'!$A$32:$B$37,2,FALSE)</f>
        <v>0</v>
      </c>
      <c r="L44" s="296">
        <f t="shared" si="8"/>
        <v>0</v>
      </c>
    </row>
    <row r="45" spans="2:20" s="60" customFormat="1" ht="15" customHeight="1" x14ac:dyDescent="0.15">
      <c r="B45" s="390" t="s">
        <v>656</v>
      </c>
      <c r="C45" s="804" t="s">
        <v>657</v>
      </c>
      <c r="D45" s="396"/>
      <c r="E45" s="397"/>
      <c r="F45" s="806" t="s">
        <v>654</v>
      </c>
      <c r="G45" s="402">
        <v>100</v>
      </c>
      <c r="H45" s="403">
        <f t="shared" si="6"/>
        <v>0</v>
      </c>
      <c r="I45" s="380">
        <v>0.35</v>
      </c>
      <c r="J45" s="234">
        <f t="shared" si="7"/>
        <v>0</v>
      </c>
      <c r="K45" s="295">
        <f>J45*VLOOKUP($B$9,'Base Costs'!$A$32:$B$37,2,FALSE)</f>
        <v>0</v>
      </c>
      <c r="L45" s="296">
        <f t="shared" si="8"/>
        <v>0</v>
      </c>
    </row>
    <row r="46" spans="2:20" s="60" customFormat="1" ht="15" customHeight="1" x14ac:dyDescent="0.15">
      <c r="B46" s="702"/>
      <c r="C46" s="390"/>
      <c r="D46" s="396"/>
      <c r="E46" s="397"/>
      <c r="F46" s="703"/>
      <c r="G46" s="402"/>
      <c r="H46" s="403">
        <f t="shared" si="6"/>
        <v>0</v>
      </c>
      <c r="I46" s="380">
        <v>0.35</v>
      </c>
      <c r="J46" s="234">
        <f t="shared" si="7"/>
        <v>0</v>
      </c>
      <c r="K46" s="295">
        <f>J46*VLOOKUP($B$9,'Base Costs'!$A$32:$B$37,2,FALSE)</f>
        <v>0</v>
      </c>
      <c r="L46" s="296">
        <f t="shared" si="8"/>
        <v>0</v>
      </c>
    </row>
    <row r="47" spans="2:20" s="60" customFormat="1" ht="15" customHeight="1" x14ac:dyDescent="0.15">
      <c r="B47" s="702" t="s">
        <v>611</v>
      </c>
      <c r="C47" s="390"/>
      <c r="D47" s="396"/>
      <c r="E47" s="397"/>
      <c r="F47" s="703"/>
      <c r="G47" s="402">
        <v>110</v>
      </c>
      <c r="H47" s="403">
        <f t="shared" si="6"/>
        <v>0</v>
      </c>
      <c r="I47" s="380">
        <v>0.35</v>
      </c>
      <c r="J47" s="234">
        <f t="shared" si="7"/>
        <v>0</v>
      </c>
      <c r="K47" s="295">
        <f>J47*VLOOKUP($B$9,'Base Costs'!$A$32:$B$37,2,FALSE)</f>
        <v>0</v>
      </c>
      <c r="L47" s="296">
        <f t="shared" si="8"/>
        <v>0</v>
      </c>
    </row>
    <row r="48" spans="2:20" s="60" customFormat="1" ht="15" customHeight="1" x14ac:dyDescent="0.15">
      <c r="B48" s="390"/>
      <c r="C48" s="390"/>
      <c r="D48" s="396"/>
      <c r="E48" s="397"/>
      <c r="F48" s="703"/>
      <c r="G48" s="402"/>
      <c r="H48" s="403">
        <f t="shared" si="6"/>
        <v>0</v>
      </c>
      <c r="I48" s="380">
        <v>0.35</v>
      </c>
      <c r="J48" s="234">
        <f t="shared" si="7"/>
        <v>0</v>
      </c>
      <c r="K48" s="295">
        <f>J48*VLOOKUP($B$9,'Base Costs'!$A$32:$B$37,2,FALSE)</f>
        <v>0</v>
      </c>
      <c r="L48" s="296">
        <f t="shared" si="8"/>
        <v>0</v>
      </c>
    </row>
    <row r="49" spans="2:13" s="60" customFormat="1" ht="15" customHeight="1" x14ac:dyDescent="0.15">
      <c r="B49" s="700"/>
      <c r="C49" s="390"/>
      <c r="D49" s="396"/>
      <c r="E49" s="397"/>
      <c r="F49" s="397"/>
      <c r="G49" s="402"/>
      <c r="H49" s="403">
        <f t="shared" si="6"/>
        <v>0</v>
      </c>
      <c r="I49" s="380">
        <v>0.35</v>
      </c>
      <c r="J49" s="234">
        <f t="shared" si="7"/>
        <v>0</v>
      </c>
      <c r="K49" s="295">
        <f>J49*VLOOKUP($B$9,'Base Costs'!$A$32:$B$37,2,FALSE)</f>
        <v>0</v>
      </c>
      <c r="L49" s="296">
        <f t="shared" si="8"/>
        <v>0</v>
      </c>
    </row>
    <row r="50" spans="2:13" s="60" customFormat="1" ht="15" customHeight="1" x14ac:dyDescent="0.15">
      <c r="B50" s="700"/>
      <c r="C50" s="390"/>
      <c r="D50" s="396"/>
      <c r="E50" s="397"/>
      <c r="F50" s="397"/>
      <c r="G50" s="402"/>
      <c r="H50" s="403">
        <f t="shared" si="6"/>
        <v>0</v>
      </c>
      <c r="I50" s="380">
        <v>0.35</v>
      </c>
      <c r="J50" s="234">
        <f t="shared" si="7"/>
        <v>0</v>
      </c>
      <c r="K50" s="295">
        <f>J50*VLOOKUP($B$9,'Base Costs'!$A$32:$B$37,2,FALSE)</f>
        <v>0</v>
      </c>
      <c r="L50" s="296">
        <f t="shared" si="8"/>
        <v>0</v>
      </c>
    </row>
    <row r="51" spans="2:13" s="60" customFormat="1" ht="15" customHeight="1" x14ac:dyDescent="0.15">
      <c r="B51" s="64"/>
      <c r="C51" s="64"/>
      <c r="D51" s="65"/>
      <c r="E51" s="66"/>
      <c r="F51" s="67"/>
      <c r="G51" s="286"/>
      <c r="H51" s="404"/>
      <c r="I51" s="56"/>
      <c r="J51" s="281"/>
      <c r="K51" s="404"/>
      <c r="L51" s="281"/>
    </row>
    <row r="52" spans="2:13" s="60" customFormat="1" ht="15" customHeight="1" x14ac:dyDescent="0.15">
      <c r="B52" s="80" t="s">
        <v>559</v>
      </c>
      <c r="C52" s="80"/>
      <c r="D52" s="81"/>
      <c r="E52" s="80"/>
      <c r="F52" s="80"/>
      <c r="G52" s="58"/>
      <c r="H52" s="123">
        <f>SUBTOTAL(9,H53:H62)</f>
        <v>1368</v>
      </c>
      <c r="I52" s="15">
        <f>IF(H52=0,"-",L52/J52)</f>
        <v>0.33</v>
      </c>
      <c r="J52" s="123">
        <f>SUBTOTAL(9,J53:J63)</f>
        <v>2041.7910447761196</v>
      </c>
      <c r="K52" s="383">
        <f>SUBTOTAL(9,K53:K62)</f>
        <v>2041.7910447761196</v>
      </c>
      <c r="L52" s="123">
        <f>SUBTOTAL(9,L53:L62)</f>
        <v>673.79104477611952</v>
      </c>
    </row>
    <row r="53" spans="2:13" s="60" customFormat="1" ht="15" customHeight="1" x14ac:dyDescent="0.15">
      <c r="B53" s="232" t="s">
        <v>630</v>
      </c>
      <c r="C53" s="90"/>
      <c r="D53" s="224" t="s">
        <v>95</v>
      </c>
      <c r="E53" s="993" t="s">
        <v>631</v>
      </c>
      <c r="F53" s="991"/>
      <c r="G53" s="297">
        <v>750</v>
      </c>
      <c r="H53" s="295">
        <f t="shared" ref="H53:H62" si="9">C53*G53</f>
        <v>0</v>
      </c>
      <c r="I53" s="405">
        <v>0.33</v>
      </c>
      <c r="J53" s="234">
        <f t="shared" ref="J53:J62" si="10">H53/(1-I53)*(1+$C$9)</f>
        <v>0</v>
      </c>
      <c r="K53" s="295">
        <f>J53*VLOOKUP($B$9,'Base Costs'!$A$32:$B$37,2,FALSE)</f>
        <v>0</v>
      </c>
      <c r="L53" s="296">
        <f t="shared" ref="L53:L62" si="11">J53-H53</f>
        <v>0</v>
      </c>
    </row>
    <row r="54" spans="2:13" s="60" customFormat="1" ht="15" customHeight="1" x14ac:dyDescent="0.15">
      <c r="B54" s="232" t="s">
        <v>463</v>
      </c>
      <c r="C54" s="90"/>
      <c r="D54" s="224" t="s">
        <v>93</v>
      </c>
      <c r="E54" s="68"/>
      <c r="F54" s="68"/>
      <c r="G54" s="297">
        <v>250</v>
      </c>
      <c r="H54" s="295">
        <f t="shared" si="9"/>
        <v>0</v>
      </c>
      <c r="I54" s="405">
        <v>0.33</v>
      </c>
      <c r="J54" s="234">
        <f t="shared" si="10"/>
        <v>0</v>
      </c>
      <c r="K54" s="295">
        <f>J54*VLOOKUP($B$9,'Base Costs'!$A$32:$B$37,2,FALSE)</f>
        <v>0</v>
      </c>
      <c r="L54" s="296">
        <f t="shared" si="11"/>
        <v>0</v>
      </c>
    </row>
    <row r="55" spans="2:13" s="60" customFormat="1" ht="15" customHeight="1" x14ac:dyDescent="0.15">
      <c r="B55" s="882" t="s">
        <v>633</v>
      </c>
      <c r="C55" s="883">
        <v>1</v>
      </c>
      <c r="D55" s="884" t="s">
        <v>658</v>
      </c>
      <c r="E55" s="885"/>
      <c r="F55" s="885"/>
      <c r="G55" s="871">
        <v>160</v>
      </c>
      <c r="H55" s="872">
        <f t="shared" si="9"/>
        <v>160</v>
      </c>
      <c r="I55" s="886">
        <v>0.33</v>
      </c>
      <c r="J55" s="873">
        <f t="shared" si="10"/>
        <v>238.80597014925377</v>
      </c>
      <c r="K55" s="872">
        <f>J55*VLOOKUP($B$9,'Base Costs'!$A$32:$B$37,2,FALSE)</f>
        <v>238.80597014925377</v>
      </c>
      <c r="L55" s="874">
        <f t="shared" si="11"/>
        <v>78.805970149253767</v>
      </c>
      <c r="M55" s="893" t="s">
        <v>336</v>
      </c>
    </row>
    <row r="56" spans="2:13" s="60" customFormat="1" ht="15" customHeight="1" x14ac:dyDescent="0.15">
      <c r="B56" s="28" t="s">
        <v>100</v>
      </c>
      <c r="C56" s="90"/>
      <c r="D56" s="28" t="s">
        <v>635</v>
      </c>
      <c r="E56" s="68"/>
      <c r="F56" s="68"/>
      <c r="G56" s="297">
        <v>610</v>
      </c>
      <c r="H56" s="295">
        <f t="shared" si="9"/>
        <v>0</v>
      </c>
      <c r="I56" s="405">
        <v>0.4</v>
      </c>
      <c r="J56" s="234">
        <f t="shared" si="10"/>
        <v>0</v>
      </c>
      <c r="K56" s="295">
        <f>J56*VLOOKUP($B$9,'Base Costs'!$A$32:$B$37,2,FALSE)</f>
        <v>0</v>
      </c>
      <c r="L56" s="296">
        <f t="shared" si="11"/>
        <v>0</v>
      </c>
    </row>
    <row r="57" spans="2:13" s="60" customFormat="1" ht="15" customHeight="1" x14ac:dyDescent="0.15">
      <c r="B57" s="28" t="s">
        <v>102</v>
      </c>
      <c r="C57" s="90"/>
      <c r="D57" s="28" t="s">
        <v>635</v>
      </c>
      <c r="E57" s="68"/>
      <c r="F57" s="68"/>
      <c r="G57" s="297">
        <v>1220</v>
      </c>
      <c r="H57" s="295">
        <f t="shared" si="9"/>
        <v>0</v>
      </c>
      <c r="I57" s="405">
        <v>0.4</v>
      </c>
      <c r="J57" s="234">
        <f t="shared" si="10"/>
        <v>0</v>
      </c>
      <c r="K57" s="295">
        <f>J57*VLOOKUP($B$9,'Base Costs'!$A$32:$B$37,2,FALSE)</f>
        <v>0</v>
      </c>
      <c r="L57" s="296">
        <f t="shared" si="11"/>
        <v>0</v>
      </c>
    </row>
    <row r="58" spans="2:13" s="60" customFormat="1" ht="15" customHeight="1" x14ac:dyDescent="0.15">
      <c r="B58" s="28" t="s">
        <v>467</v>
      </c>
      <c r="C58" s="90"/>
      <c r="D58" s="28" t="s">
        <v>106</v>
      </c>
      <c r="E58" s="68"/>
      <c r="F58" s="68"/>
      <c r="G58" s="297">
        <v>220</v>
      </c>
      <c r="H58" s="295">
        <f t="shared" si="9"/>
        <v>0</v>
      </c>
      <c r="I58" s="405">
        <v>0.33</v>
      </c>
      <c r="J58" s="234">
        <f t="shared" si="10"/>
        <v>0</v>
      </c>
      <c r="K58" s="295">
        <f>J58*VLOOKUP($B$9,'Base Costs'!$A$32:$B$37,2,FALSE)</f>
        <v>0</v>
      </c>
      <c r="L58" s="296">
        <f t="shared" si="11"/>
        <v>0</v>
      </c>
    </row>
    <row r="59" spans="2:13" s="60" customFormat="1" ht="15" customHeight="1" x14ac:dyDescent="0.15">
      <c r="B59" s="232" t="s">
        <v>636</v>
      </c>
      <c r="C59" s="90"/>
      <c r="D59" s="28" t="s">
        <v>106</v>
      </c>
      <c r="E59" s="68"/>
      <c r="F59" s="68"/>
      <c r="G59" s="297">
        <v>150</v>
      </c>
      <c r="H59" s="295">
        <f t="shared" si="9"/>
        <v>0</v>
      </c>
      <c r="I59" s="405">
        <v>0.33</v>
      </c>
      <c r="J59" s="234">
        <f t="shared" si="10"/>
        <v>0</v>
      </c>
      <c r="K59" s="295">
        <f>J59*VLOOKUP($B$9,'Base Costs'!$A$32:$B$37,2,FALSE)</f>
        <v>0</v>
      </c>
      <c r="L59" s="296">
        <f t="shared" si="11"/>
        <v>0</v>
      </c>
    </row>
    <row r="60" spans="2:13" s="60" customFormat="1" ht="15" customHeight="1" x14ac:dyDescent="0.15">
      <c r="B60" s="232" t="s">
        <v>465</v>
      </c>
      <c r="C60" s="90"/>
      <c r="D60" s="28" t="s">
        <v>637</v>
      </c>
      <c r="E60" s="68"/>
      <c r="F60" s="68"/>
      <c r="G60" s="297">
        <v>80</v>
      </c>
      <c r="H60" s="295">
        <f t="shared" si="9"/>
        <v>0</v>
      </c>
      <c r="I60" s="405">
        <v>0.33</v>
      </c>
      <c r="J60" s="234">
        <f t="shared" si="10"/>
        <v>0</v>
      </c>
      <c r="K60" s="295">
        <f>J60*VLOOKUP($B$9,'Base Costs'!$A$32:$B$37,2,FALSE)</f>
        <v>0</v>
      </c>
      <c r="L60" s="296">
        <f t="shared" si="11"/>
        <v>0</v>
      </c>
    </row>
    <row r="61" spans="2:13" s="60" customFormat="1" ht="15" customHeight="1" x14ac:dyDescent="0.15">
      <c r="B61" s="232" t="s">
        <v>638</v>
      </c>
      <c r="C61" s="90">
        <v>2</v>
      </c>
      <c r="D61" s="961" t="s">
        <v>659</v>
      </c>
      <c r="E61" s="991"/>
      <c r="F61" s="991"/>
      <c r="G61" s="297">
        <v>604</v>
      </c>
      <c r="H61" s="295">
        <f t="shared" si="9"/>
        <v>1208</v>
      </c>
      <c r="I61" s="405">
        <v>0.33</v>
      </c>
      <c r="J61" s="234">
        <f t="shared" si="10"/>
        <v>1802.9850746268658</v>
      </c>
      <c r="K61" s="295">
        <f>J61*VLOOKUP($B$9,'Base Costs'!$A$32:$B$37,2,FALSE)</f>
        <v>1802.9850746268658</v>
      </c>
      <c r="L61" s="296">
        <f t="shared" si="11"/>
        <v>594.98507462686575</v>
      </c>
      <c r="M61" s="893" t="s">
        <v>336</v>
      </c>
    </row>
    <row r="62" spans="2:13" s="60" customFormat="1" ht="15" customHeight="1" x14ac:dyDescent="0.15">
      <c r="B62" s="28" t="s">
        <v>640</v>
      </c>
      <c r="C62" s="185"/>
      <c r="D62" s="950" t="s">
        <v>641</v>
      </c>
      <c r="E62" s="991"/>
      <c r="F62" s="991"/>
      <c r="G62" s="297">
        <v>603</v>
      </c>
      <c r="H62" s="295">
        <f t="shared" si="9"/>
        <v>0</v>
      </c>
      <c r="I62" s="405">
        <v>0.33</v>
      </c>
      <c r="J62" s="234">
        <f t="shared" si="10"/>
        <v>0</v>
      </c>
      <c r="K62" s="295">
        <f>J62*VLOOKUP($B$9,'Base Costs'!$A$32:$B$37,2,FALSE)</f>
        <v>0</v>
      </c>
      <c r="L62" s="296">
        <f t="shared" si="11"/>
        <v>0</v>
      </c>
    </row>
    <row r="63" spans="2:13" s="60" customFormat="1" ht="15" customHeight="1" x14ac:dyDescent="0.15">
      <c r="B63" s="55"/>
      <c r="C63" s="69"/>
      <c r="D63" s="56"/>
      <c r="E63" s="55"/>
      <c r="F63" s="55"/>
      <c r="G63" s="281"/>
      <c r="H63" s="281"/>
      <c r="I63" s="56"/>
      <c r="J63" s="281"/>
      <c r="K63" s="281"/>
      <c r="L63" s="281"/>
    </row>
    <row r="64" spans="2:13" s="60" customFormat="1" ht="15" customHeight="1" x14ac:dyDescent="0.2">
      <c r="B64" s="139" t="s">
        <v>46</v>
      </c>
      <c r="C64" s="140"/>
      <c r="D64" s="141"/>
      <c r="E64" s="141"/>
      <c r="F64" s="140"/>
      <c r="G64" s="142"/>
      <c r="H64" s="140"/>
      <c r="I64" s="140"/>
      <c r="J64" s="140"/>
      <c r="K64" s="140"/>
      <c r="L64" s="140"/>
    </row>
    <row r="65" spans="2:12" s="60" customFormat="1" ht="15" customHeight="1" x14ac:dyDescent="0.2">
      <c r="B65" s="143"/>
      <c r="C65" s="144"/>
      <c r="D65" s="143"/>
      <c r="E65" s="145"/>
      <c r="F65" s="143"/>
      <c r="G65" s="149"/>
      <c r="H65" s="144"/>
      <c r="I65" s="144"/>
      <c r="J65" s="144"/>
      <c r="K65" s="146"/>
      <c r="L65" s="146"/>
    </row>
    <row r="66" spans="2:12" s="60" customFormat="1" ht="15" customHeight="1" x14ac:dyDescent="0.2">
      <c r="B66" s="143"/>
      <c r="C66" s="144"/>
      <c r="D66" s="143"/>
      <c r="E66" s="145"/>
      <c r="F66" s="143"/>
      <c r="G66" s="149"/>
      <c r="H66" s="144"/>
      <c r="I66" s="144"/>
      <c r="J66" s="144"/>
      <c r="K66" s="146"/>
      <c r="L66" s="146"/>
    </row>
    <row r="67" spans="2:12" s="60" customFormat="1" ht="15" customHeight="1" x14ac:dyDescent="0.2">
      <c r="B67" s="143"/>
      <c r="C67" s="144"/>
      <c r="D67" s="143"/>
      <c r="E67" s="145"/>
      <c r="F67" s="143"/>
      <c r="G67" s="149"/>
      <c r="H67" s="144"/>
      <c r="I67" s="144"/>
      <c r="J67" s="144"/>
      <c r="K67" s="149"/>
      <c r="L67" s="149"/>
    </row>
    <row r="68" spans="2:12" s="60" customFormat="1" ht="15" customHeight="1" x14ac:dyDescent="0.2">
      <c r="B68" s="143"/>
      <c r="C68" s="144"/>
      <c r="D68" s="143"/>
      <c r="E68" s="145"/>
      <c r="F68" s="143"/>
      <c r="G68" s="149"/>
      <c r="H68" s="147"/>
      <c r="I68" s="144"/>
      <c r="J68" s="144"/>
      <c r="K68" s="149"/>
      <c r="L68" s="149"/>
    </row>
    <row r="69" spans="2:12" s="60" customFormat="1" ht="15" customHeight="1" x14ac:dyDescent="0.2">
      <c r="B69" s="143"/>
      <c r="C69" s="144"/>
      <c r="D69" s="143"/>
      <c r="E69" s="143"/>
      <c r="F69" s="143"/>
      <c r="G69" s="148"/>
      <c r="H69" s="149"/>
      <c r="I69" s="144"/>
      <c r="J69" s="144"/>
      <c r="K69" s="146"/>
      <c r="L69" s="146"/>
    </row>
    <row r="70" spans="2:12" s="60" customFormat="1" ht="15" customHeight="1" x14ac:dyDescent="0.2">
      <c r="B70" s="143"/>
      <c r="C70" s="143"/>
      <c r="D70" s="143"/>
      <c r="E70" s="143"/>
      <c r="F70" s="143"/>
      <c r="G70" s="148"/>
      <c r="H70" s="149"/>
      <c r="I70" s="144"/>
      <c r="J70" s="144"/>
      <c r="K70" s="146"/>
      <c r="L70" s="146"/>
    </row>
    <row r="71" spans="2:12" s="60" customFormat="1" ht="15" customHeight="1" x14ac:dyDescent="0.15">
      <c r="B71" s="55"/>
      <c r="C71" s="69"/>
      <c r="D71" s="56"/>
      <c r="E71" s="55"/>
      <c r="F71" s="55"/>
      <c r="G71" s="281"/>
      <c r="H71" s="281"/>
      <c r="I71" s="56"/>
      <c r="J71" s="281"/>
      <c r="K71" s="281"/>
      <c r="L71" s="281"/>
    </row>
    <row r="72" spans="2:12" s="60" customFormat="1" ht="15" customHeight="1" x14ac:dyDescent="0.15">
      <c r="B72" s="70"/>
      <c r="C72" s="70"/>
      <c r="D72" s="56"/>
      <c r="E72" s="55"/>
      <c r="F72" s="55"/>
      <c r="G72" s="281"/>
      <c r="H72" s="281"/>
      <c r="I72" s="56"/>
      <c r="J72" s="281"/>
      <c r="K72" s="281"/>
      <c r="L72" s="281"/>
    </row>
    <row r="73" spans="2:12" s="60" customFormat="1" ht="15" customHeight="1" x14ac:dyDescent="0.15">
      <c r="B73" s="55"/>
      <c r="C73" s="55"/>
      <c r="D73" s="56"/>
      <c r="E73" s="55"/>
      <c r="F73" s="55"/>
      <c r="G73" s="281"/>
      <c r="H73" s="281"/>
      <c r="I73" s="56"/>
      <c r="J73" s="281"/>
      <c r="K73" s="281"/>
      <c r="L73" s="281"/>
    </row>
    <row r="74" spans="2:12" s="60" customFormat="1" ht="15" customHeight="1" x14ac:dyDescent="0.15">
      <c r="B74" s="55"/>
      <c r="C74" s="55"/>
      <c r="D74" s="56"/>
      <c r="E74" s="55"/>
      <c r="F74" s="55"/>
      <c r="G74" s="281"/>
      <c r="H74" s="281"/>
      <c r="I74" s="56"/>
      <c r="J74" s="281"/>
      <c r="K74" s="281"/>
      <c r="L74" s="281"/>
    </row>
    <row r="75" spans="2:12" s="60" customFormat="1" ht="15" customHeight="1" x14ac:dyDescent="0.15">
      <c r="B75" s="55"/>
      <c r="C75" s="55"/>
      <c r="D75" s="56"/>
      <c r="E75" s="55"/>
      <c r="F75" s="55"/>
      <c r="G75" s="281"/>
      <c r="H75" s="281"/>
      <c r="I75" s="56"/>
      <c r="J75" s="281"/>
      <c r="K75" s="281"/>
      <c r="L75" s="281"/>
    </row>
    <row r="76" spans="2:12" s="60" customFormat="1" ht="15" customHeight="1" x14ac:dyDescent="0.15">
      <c r="B76" s="55"/>
      <c r="C76" s="55"/>
      <c r="D76" s="56"/>
      <c r="E76" s="55"/>
      <c r="F76" s="55"/>
      <c r="G76" s="281"/>
      <c r="H76" s="281"/>
      <c r="I76" s="56"/>
      <c r="J76" s="281"/>
      <c r="K76" s="281"/>
      <c r="L76" s="281"/>
    </row>
    <row r="77" spans="2:12" s="60" customFormat="1" ht="15" customHeight="1" x14ac:dyDescent="0.15">
      <c r="B77" s="55"/>
      <c r="C77" s="55"/>
      <c r="D77" s="56"/>
      <c r="E77" s="55"/>
      <c r="F77" s="55"/>
      <c r="G77" s="281"/>
      <c r="H77" s="281"/>
      <c r="I77" s="56"/>
      <c r="J77" s="281"/>
      <c r="K77" s="281"/>
      <c r="L77" s="281"/>
    </row>
    <row r="78" spans="2:12" s="60" customFormat="1" ht="15" customHeight="1" x14ac:dyDescent="0.15">
      <c r="B78" s="55"/>
      <c r="C78" s="55"/>
      <c r="D78" s="56"/>
      <c r="E78" s="55"/>
      <c r="F78" s="55"/>
      <c r="G78" s="281"/>
      <c r="H78" s="281"/>
      <c r="I78" s="56"/>
      <c r="J78" s="281"/>
      <c r="K78" s="281"/>
      <c r="L78" s="281"/>
    </row>
    <row r="79" spans="2:12" s="60" customFormat="1" ht="15" customHeight="1" x14ac:dyDescent="0.15">
      <c r="B79" s="55"/>
      <c r="C79" s="55"/>
      <c r="D79" s="56"/>
      <c r="E79" s="55"/>
      <c r="F79" s="55"/>
      <c r="G79" s="281"/>
      <c r="H79" s="281"/>
      <c r="I79" s="56"/>
      <c r="J79" s="281"/>
      <c r="K79" s="281"/>
      <c r="L79" s="281"/>
    </row>
    <row r="80" spans="2:12" s="60" customFormat="1" ht="15" customHeight="1" x14ac:dyDescent="0.15">
      <c r="B80" s="55"/>
      <c r="C80" s="55"/>
      <c r="D80" s="56"/>
      <c r="E80" s="55"/>
      <c r="F80" s="55"/>
      <c r="G80" s="281"/>
      <c r="H80" s="281"/>
      <c r="I80" s="56"/>
      <c r="J80" s="281"/>
      <c r="K80" s="281"/>
      <c r="L80" s="281"/>
    </row>
    <row r="81" spans="2:12" s="60" customFormat="1" ht="15" customHeight="1" x14ac:dyDescent="0.15">
      <c r="B81" s="55"/>
      <c r="C81" s="55"/>
      <c r="D81" s="56"/>
      <c r="E81" s="55"/>
      <c r="F81" s="55"/>
      <c r="G81" s="281"/>
      <c r="H81" s="281"/>
      <c r="I81" s="56"/>
      <c r="J81" s="281"/>
      <c r="K81" s="281"/>
      <c r="L81" s="281"/>
    </row>
    <row r="82" spans="2:12" s="60" customFormat="1" ht="15" customHeight="1" x14ac:dyDescent="0.15">
      <c r="B82" s="55"/>
      <c r="C82" s="55"/>
      <c r="D82" s="56"/>
      <c r="E82" s="55"/>
      <c r="F82" s="55"/>
      <c r="G82" s="281"/>
      <c r="H82" s="281"/>
      <c r="I82" s="56"/>
      <c r="J82" s="281"/>
      <c r="K82" s="281"/>
      <c r="L82" s="281"/>
    </row>
    <row r="83" spans="2:12" s="60" customFormat="1" ht="15" customHeight="1" x14ac:dyDescent="0.15">
      <c r="B83" s="55"/>
      <c r="C83" s="55"/>
      <c r="D83" s="56"/>
      <c r="E83" s="55"/>
      <c r="F83" s="55"/>
      <c r="G83" s="281"/>
      <c r="H83" s="281"/>
      <c r="I83" s="56"/>
      <c r="J83" s="281"/>
      <c r="K83" s="281"/>
      <c r="L83" s="281"/>
    </row>
    <row r="84" spans="2:12" s="60" customFormat="1" ht="15" customHeight="1" x14ac:dyDescent="0.15">
      <c r="B84" s="55"/>
      <c r="C84" s="55"/>
      <c r="D84" s="56"/>
      <c r="E84" s="55"/>
      <c r="F84" s="55"/>
      <c r="G84" s="281"/>
      <c r="H84" s="281"/>
      <c r="I84" s="56"/>
      <c r="J84" s="281"/>
      <c r="K84" s="281"/>
      <c r="L84" s="281"/>
    </row>
    <row r="85" spans="2:12" s="60" customFormat="1" ht="15" customHeight="1" x14ac:dyDescent="0.15">
      <c r="B85" s="55"/>
      <c r="C85" s="55"/>
      <c r="D85" s="56"/>
      <c r="E85" s="55"/>
      <c r="F85" s="55"/>
      <c r="G85" s="281"/>
      <c r="H85" s="281"/>
      <c r="I85" s="56"/>
      <c r="J85" s="281"/>
      <c r="K85" s="281"/>
      <c r="L85" s="281"/>
    </row>
    <row r="86" spans="2:12" s="60" customFormat="1" ht="15" customHeight="1" x14ac:dyDescent="0.15">
      <c r="B86" s="55"/>
      <c r="C86" s="55"/>
      <c r="D86" s="56"/>
      <c r="E86" s="55"/>
      <c r="F86" s="55"/>
      <c r="G86" s="281"/>
      <c r="H86" s="281"/>
      <c r="I86" s="56"/>
      <c r="J86" s="281"/>
      <c r="K86" s="281"/>
      <c r="L86" s="281"/>
    </row>
    <row r="87" spans="2:12" s="60" customFormat="1" ht="15" customHeight="1" x14ac:dyDescent="0.15">
      <c r="B87" s="55"/>
      <c r="C87" s="55"/>
      <c r="D87" s="56"/>
      <c r="E87" s="55"/>
      <c r="F87" s="55"/>
      <c r="G87" s="281"/>
      <c r="H87" s="281"/>
      <c r="I87" s="56"/>
      <c r="J87" s="281"/>
      <c r="K87" s="281"/>
      <c r="L87" s="281"/>
    </row>
    <row r="88" spans="2:12" s="60" customFormat="1" ht="15" customHeight="1" x14ac:dyDescent="0.15">
      <c r="B88" s="55"/>
      <c r="C88" s="55"/>
      <c r="D88" s="56"/>
      <c r="E88" s="55"/>
      <c r="F88" s="55"/>
      <c r="G88" s="281"/>
      <c r="H88" s="281"/>
      <c r="I88" s="56"/>
      <c r="J88" s="281"/>
      <c r="K88" s="281"/>
      <c r="L88" s="281"/>
    </row>
    <row r="89" spans="2:12" s="60" customFormat="1" ht="15" customHeight="1" x14ac:dyDescent="0.15">
      <c r="B89" s="55"/>
      <c r="C89" s="55"/>
      <c r="D89" s="56"/>
      <c r="E89" s="55"/>
      <c r="F89" s="55"/>
      <c r="G89" s="281"/>
      <c r="H89" s="281"/>
      <c r="I89" s="56"/>
      <c r="J89" s="281"/>
      <c r="K89" s="281"/>
      <c r="L89" s="281"/>
    </row>
    <row r="90" spans="2:12" s="60" customFormat="1" ht="15" customHeight="1" x14ac:dyDescent="0.15">
      <c r="B90" s="55"/>
      <c r="C90" s="55"/>
      <c r="D90" s="56"/>
      <c r="E90" s="55"/>
      <c r="F90" s="55"/>
      <c r="G90" s="281"/>
      <c r="H90" s="281"/>
      <c r="I90" s="56"/>
      <c r="J90" s="281"/>
      <c r="K90" s="281"/>
      <c r="L90" s="281"/>
    </row>
    <row r="91" spans="2:12" s="60" customFormat="1" ht="15" customHeight="1" x14ac:dyDescent="0.15">
      <c r="B91" s="55"/>
      <c r="C91" s="55"/>
      <c r="D91" s="56"/>
      <c r="E91" s="55"/>
      <c r="F91" s="55"/>
      <c r="G91" s="281"/>
      <c r="H91" s="281"/>
      <c r="I91" s="56"/>
      <c r="J91" s="281"/>
      <c r="K91" s="281"/>
      <c r="L91" s="281"/>
    </row>
    <row r="92" spans="2:12" s="60" customFormat="1" ht="15" customHeight="1" x14ac:dyDescent="0.15">
      <c r="B92" s="55"/>
      <c r="C92" s="55"/>
      <c r="D92" s="56"/>
      <c r="E92" s="55"/>
      <c r="F92" s="55"/>
      <c r="G92" s="281"/>
      <c r="H92" s="281"/>
      <c r="I92" s="56"/>
      <c r="J92" s="281"/>
      <c r="K92" s="281"/>
      <c r="L92" s="281"/>
    </row>
    <row r="93" spans="2:12" s="60" customFormat="1" ht="15" customHeight="1" x14ac:dyDescent="0.15">
      <c r="B93" s="55"/>
      <c r="C93" s="55"/>
      <c r="D93" s="56"/>
      <c r="E93" s="55"/>
      <c r="F93" s="55"/>
      <c r="G93" s="281"/>
      <c r="H93" s="281"/>
      <c r="I93" s="56"/>
      <c r="J93" s="281"/>
      <c r="K93" s="281"/>
      <c r="L93" s="281"/>
    </row>
    <row r="94" spans="2:12" s="60" customFormat="1" ht="15" customHeight="1" x14ac:dyDescent="0.15">
      <c r="B94" s="55"/>
      <c r="C94" s="55"/>
      <c r="D94" s="56"/>
      <c r="E94" s="55"/>
      <c r="F94" s="55"/>
      <c r="G94" s="281"/>
      <c r="H94" s="281"/>
      <c r="I94" s="56"/>
      <c r="J94" s="281"/>
      <c r="K94" s="281"/>
      <c r="L94" s="281"/>
    </row>
    <row r="95" spans="2:12" s="60" customFormat="1" ht="15" customHeight="1" x14ac:dyDescent="0.15">
      <c r="B95" s="55"/>
      <c r="C95" s="55"/>
      <c r="D95" s="56"/>
      <c r="E95" s="55"/>
      <c r="F95" s="55"/>
      <c r="G95" s="281"/>
      <c r="H95" s="281"/>
      <c r="I95" s="56"/>
      <c r="J95" s="281"/>
      <c r="K95" s="281"/>
      <c r="L95" s="281"/>
    </row>
    <row r="96" spans="2:12" s="60" customFormat="1" ht="15" customHeight="1" x14ac:dyDescent="0.15">
      <c r="B96" s="55"/>
      <c r="C96" s="55"/>
      <c r="D96" s="56"/>
      <c r="E96" s="55"/>
      <c r="F96" s="55"/>
      <c r="G96" s="281"/>
      <c r="H96" s="281"/>
      <c r="I96" s="56"/>
      <c r="J96" s="281"/>
      <c r="K96" s="281"/>
      <c r="L96" s="281"/>
    </row>
    <row r="97" spans="2:12" s="60" customFormat="1" ht="15" customHeight="1" x14ac:dyDescent="0.15">
      <c r="B97" s="55"/>
      <c r="C97" s="55"/>
      <c r="D97" s="56"/>
      <c r="E97" s="55"/>
      <c r="F97" s="55"/>
      <c r="G97" s="281"/>
      <c r="H97" s="281"/>
      <c r="I97" s="56"/>
      <c r="J97" s="281"/>
      <c r="K97" s="281"/>
      <c r="L97" s="281"/>
    </row>
    <row r="98" spans="2:12" s="60" customFormat="1" ht="15" customHeight="1" x14ac:dyDescent="0.15">
      <c r="B98" s="55"/>
      <c r="C98" s="55"/>
      <c r="D98" s="56"/>
      <c r="E98" s="55"/>
      <c r="F98" s="55"/>
      <c r="G98" s="281"/>
      <c r="H98" s="281"/>
      <c r="I98" s="56"/>
      <c r="J98" s="281"/>
      <c r="K98" s="281"/>
      <c r="L98" s="281"/>
    </row>
    <row r="99" spans="2:12" s="60" customFormat="1" ht="15" customHeight="1" x14ac:dyDescent="0.15">
      <c r="B99" s="55"/>
      <c r="C99" s="55"/>
      <c r="D99" s="56"/>
      <c r="E99" s="55"/>
      <c r="F99" s="55"/>
      <c r="G99" s="281"/>
      <c r="H99" s="281"/>
      <c r="I99" s="56"/>
      <c r="J99" s="281"/>
      <c r="K99" s="281"/>
      <c r="L99" s="281"/>
    </row>
    <row r="100" spans="2:12" s="60" customFormat="1" ht="15" customHeight="1" x14ac:dyDescent="0.15">
      <c r="B100" s="55"/>
      <c r="C100" s="55"/>
      <c r="D100" s="56"/>
      <c r="E100" s="55"/>
      <c r="F100" s="55"/>
      <c r="G100" s="281"/>
      <c r="H100" s="281"/>
      <c r="I100" s="56"/>
      <c r="J100" s="281"/>
      <c r="K100" s="281"/>
      <c r="L100" s="281"/>
    </row>
    <row r="101" spans="2:12" s="60" customFormat="1" ht="15" customHeight="1" x14ac:dyDescent="0.15">
      <c r="B101" s="55"/>
      <c r="C101" s="55"/>
      <c r="D101" s="56"/>
      <c r="E101" s="55"/>
      <c r="F101" s="55"/>
      <c r="G101" s="281"/>
      <c r="H101" s="281"/>
      <c r="I101" s="56"/>
      <c r="J101" s="281"/>
      <c r="K101" s="281"/>
      <c r="L101" s="281"/>
    </row>
    <row r="102" spans="2:12" s="60" customFormat="1" ht="15" customHeight="1" x14ac:dyDescent="0.15">
      <c r="B102" s="55"/>
      <c r="C102" s="55"/>
      <c r="D102" s="56"/>
      <c r="E102" s="55"/>
      <c r="F102" s="55"/>
      <c r="G102" s="281"/>
      <c r="H102" s="281"/>
      <c r="I102" s="56"/>
      <c r="J102" s="281"/>
      <c r="K102" s="281"/>
      <c r="L102" s="281"/>
    </row>
    <row r="103" spans="2:12" s="60" customFormat="1" ht="15" customHeight="1" x14ac:dyDescent="0.15">
      <c r="B103" s="55"/>
      <c r="C103" s="55"/>
      <c r="D103" s="56"/>
      <c r="E103" s="55"/>
      <c r="F103" s="55"/>
      <c r="G103" s="281"/>
      <c r="H103" s="281"/>
      <c r="I103" s="56"/>
      <c r="J103" s="281"/>
      <c r="K103" s="281"/>
      <c r="L103" s="281"/>
    </row>
    <row r="104" spans="2:12" s="60" customFormat="1" ht="15" customHeight="1" x14ac:dyDescent="0.15">
      <c r="B104" s="55"/>
      <c r="C104" s="55"/>
      <c r="D104" s="56"/>
      <c r="E104" s="55"/>
      <c r="F104" s="55"/>
      <c r="G104" s="281"/>
      <c r="H104" s="281"/>
      <c r="I104" s="56"/>
      <c r="J104" s="281"/>
      <c r="K104" s="281"/>
      <c r="L104" s="281"/>
    </row>
    <row r="105" spans="2:12" s="60" customFormat="1" ht="15" customHeight="1" x14ac:dyDescent="0.15">
      <c r="B105" s="55"/>
      <c r="C105" s="55"/>
      <c r="D105" s="56"/>
      <c r="E105" s="55"/>
      <c r="F105" s="55"/>
      <c r="G105" s="281"/>
      <c r="H105" s="281"/>
      <c r="I105" s="56"/>
      <c r="J105" s="281"/>
      <c r="K105" s="281"/>
      <c r="L105" s="281"/>
    </row>
    <row r="106" spans="2:12" s="60" customFormat="1" ht="15" customHeight="1" x14ac:dyDescent="0.15">
      <c r="B106" s="55"/>
      <c r="C106" s="55"/>
      <c r="D106" s="56"/>
      <c r="E106" s="55"/>
      <c r="F106" s="55"/>
      <c r="G106" s="281"/>
      <c r="H106" s="281"/>
      <c r="I106" s="56"/>
      <c r="J106" s="281"/>
      <c r="K106" s="281"/>
      <c r="L106" s="281"/>
    </row>
    <row r="107" spans="2:12" s="60" customFormat="1" ht="15" customHeight="1" x14ac:dyDescent="0.15">
      <c r="B107" s="55"/>
      <c r="C107" s="55"/>
      <c r="D107" s="56"/>
      <c r="E107" s="55"/>
      <c r="F107" s="55"/>
      <c r="G107" s="281"/>
      <c r="H107" s="281"/>
      <c r="I107" s="56"/>
      <c r="J107" s="281"/>
      <c r="K107" s="281"/>
      <c r="L107" s="281"/>
    </row>
    <row r="108" spans="2:12" s="60" customFormat="1" ht="15" customHeight="1" x14ac:dyDescent="0.15">
      <c r="B108" s="55"/>
      <c r="C108" s="55"/>
      <c r="D108" s="56"/>
      <c r="E108" s="55"/>
      <c r="F108" s="55"/>
      <c r="G108" s="281"/>
      <c r="H108" s="281"/>
      <c r="I108" s="56"/>
      <c r="J108" s="281"/>
      <c r="K108" s="281"/>
      <c r="L108" s="281"/>
    </row>
    <row r="109" spans="2:12" s="60" customFormat="1" ht="15" customHeight="1" x14ac:dyDescent="0.15">
      <c r="B109" s="55"/>
      <c r="C109" s="55"/>
      <c r="D109" s="56"/>
      <c r="E109" s="55"/>
      <c r="F109" s="55"/>
      <c r="G109" s="281"/>
      <c r="H109" s="281"/>
      <c r="I109" s="56"/>
      <c r="J109" s="281"/>
      <c r="K109" s="281"/>
      <c r="L109" s="281"/>
    </row>
    <row r="110" spans="2:12" s="60" customFormat="1" ht="15" customHeight="1" x14ac:dyDescent="0.15">
      <c r="B110" s="55"/>
      <c r="C110" s="55"/>
      <c r="D110" s="56"/>
      <c r="E110" s="55"/>
      <c r="F110" s="55"/>
      <c r="G110" s="281"/>
      <c r="H110" s="281"/>
      <c r="I110" s="56"/>
      <c r="J110" s="281"/>
      <c r="K110" s="281"/>
      <c r="L110" s="281"/>
    </row>
    <row r="111" spans="2:12" s="60" customFormat="1" ht="15" customHeight="1" x14ac:dyDescent="0.15">
      <c r="B111" s="55"/>
      <c r="C111" s="55"/>
      <c r="D111" s="56"/>
      <c r="E111" s="55"/>
      <c r="F111" s="55"/>
      <c r="G111" s="281"/>
      <c r="H111" s="281"/>
      <c r="I111" s="56"/>
      <c r="J111" s="281"/>
      <c r="K111" s="281"/>
      <c r="L111" s="281"/>
    </row>
    <row r="112" spans="2:12" s="60" customFormat="1" ht="15" customHeight="1" x14ac:dyDescent="0.15">
      <c r="B112" s="55"/>
      <c r="C112" s="55"/>
      <c r="D112" s="56"/>
      <c r="E112" s="55"/>
      <c r="F112" s="55"/>
      <c r="G112" s="281"/>
      <c r="H112" s="281"/>
      <c r="I112" s="56"/>
      <c r="J112" s="281"/>
      <c r="K112" s="281"/>
      <c r="L112" s="281"/>
    </row>
    <row r="113" spans="2:12" s="60" customFormat="1" ht="15" customHeight="1" x14ac:dyDescent="0.15">
      <c r="B113" s="55"/>
      <c r="C113" s="55"/>
      <c r="D113" s="56"/>
      <c r="E113" s="55"/>
      <c r="F113" s="55"/>
      <c r="G113" s="281"/>
      <c r="H113" s="281"/>
      <c r="I113" s="56"/>
      <c r="J113" s="281"/>
      <c r="K113" s="281"/>
      <c r="L113" s="281"/>
    </row>
    <row r="114" spans="2:12" s="60" customFormat="1" ht="15" customHeight="1" x14ac:dyDescent="0.15">
      <c r="B114" s="55"/>
      <c r="C114" s="55"/>
      <c r="D114" s="56"/>
      <c r="E114" s="55"/>
      <c r="F114" s="55"/>
      <c r="G114" s="281"/>
      <c r="H114" s="281"/>
      <c r="I114" s="56"/>
      <c r="J114" s="281"/>
      <c r="K114" s="281"/>
      <c r="L114" s="281"/>
    </row>
    <row r="115" spans="2:12" s="60" customFormat="1" ht="15" customHeight="1" x14ac:dyDescent="0.15">
      <c r="B115" s="55"/>
      <c r="C115" s="55"/>
      <c r="D115" s="56"/>
      <c r="E115" s="55"/>
      <c r="F115" s="55"/>
      <c r="G115" s="281"/>
      <c r="H115" s="281"/>
      <c r="I115" s="56"/>
      <c r="J115" s="281"/>
      <c r="K115" s="281"/>
      <c r="L115" s="281"/>
    </row>
    <row r="116" spans="2:12" s="60" customFormat="1" ht="15" customHeight="1" x14ac:dyDescent="0.15">
      <c r="B116" s="55"/>
      <c r="C116" s="55"/>
      <c r="D116" s="56"/>
      <c r="E116" s="55"/>
      <c r="F116" s="55"/>
      <c r="G116" s="281"/>
      <c r="H116" s="281"/>
      <c r="I116" s="56"/>
      <c r="J116" s="281"/>
      <c r="K116" s="281"/>
      <c r="L116" s="281"/>
    </row>
    <row r="117" spans="2:12" s="60" customFormat="1" ht="15" customHeight="1" x14ac:dyDescent="0.15">
      <c r="B117" s="55"/>
      <c r="C117" s="55"/>
      <c r="D117" s="56"/>
      <c r="E117" s="55"/>
      <c r="F117" s="55"/>
      <c r="G117" s="281"/>
      <c r="H117" s="281"/>
      <c r="I117" s="56"/>
      <c r="J117" s="281"/>
      <c r="K117" s="281"/>
      <c r="L117" s="281"/>
    </row>
    <row r="118" spans="2:12" s="60" customFormat="1" ht="15" customHeight="1" x14ac:dyDescent="0.15">
      <c r="B118" s="55"/>
      <c r="C118" s="55"/>
      <c r="D118" s="56"/>
      <c r="E118" s="55"/>
      <c r="F118" s="55"/>
      <c r="G118" s="281"/>
      <c r="H118" s="281"/>
      <c r="I118" s="56"/>
      <c r="J118" s="281"/>
      <c r="K118" s="281"/>
      <c r="L118" s="281"/>
    </row>
    <row r="119" spans="2:12" s="60" customFormat="1" ht="15" customHeight="1" x14ac:dyDescent="0.15">
      <c r="B119" s="55"/>
      <c r="C119" s="55"/>
      <c r="D119" s="56"/>
      <c r="E119" s="55"/>
      <c r="F119" s="55"/>
      <c r="G119" s="281"/>
      <c r="H119" s="281"/>
      <c r="I119" s="56"/>
      <c r="J119" s="281"/>
      <c r="K119" s="281"/>
      <c r="L119" s="281"/>
    </row>
    <row r="120" spans="2:12" s="60" customFormat="1" ht="15" customHeight="1" x14ac:dyDescent="0.15">
      <c r="B120" s="55"/>
      <c r="C120" s="55"/>
      <c r="D120" s="56"/>
      <c r="E120" s="55"/>
      <c r="F120" s="55"/>
      <c r="G120" s="281"/>
      <c r="H120" s="281"/>
      <c r="I120" s="56"/>
      <c r="J120" s="281"/>
      <c r="K120" s="281"/>
      <c r="L120" s="281"/>
    </row>
    <row r="121" spans="2:12" s="60" customFormat="1" ht="15" customHeight="1" x14ac:dyDescent="0.15">
      <c r="B121" s="55"/>
      <c r="C121" s="55"/>
      <c r="D121" s="56"/>
      <c r="E121" s="55"/>
      <c r="F121" s="55"/>
      <c r="G121" s="281"/>
      <c r="H121" s="281"/>
      <c r="I121" s="56"/>
      <c r="J121" s="281"/>
      <c r="K121" s="281"/>
      <c r="L121" s="281"/>
    </row>
    <row r="122" spans="2:12" s="60" customFormat="1" ht="15" customHeight="1" x14ac:dyDescent="0.15">
      <c r="B122" s="55"/>
      <c r="C122" s="55"/>
      <c r="D122" s="56"/>
      <c r="E122" s="55"/>
      <c r="F122" s="55"/>
      <c r="G122" s="281"/>
      <c r="H122" s="281"/>
      <c r="I122" s="56"/>
      <c r="J122" s="281"/>
      <c r="K122" s="281"/>
      <c r="L122" s="281"/>
    </row>
    <row r="123" spans="2:12" s="60" customFormat="1" ht="15" customHeight="1" x14ac:dyDescent="0.15">
      <c r="B123" s="55"/>
      <c r="C123" s="55"/>
      <c r="D123" s="56"/>
      <c r="E123" s="55"/>
      <c r="F123" s="55"/>
      <c r="G123" s="281"/>
      <c r="H123" s="281"/>
      <c r="I123" s="56"/>
      <c r="J123" s="281"/>
      <c r="K123" s="281"/>
      <c r="L123" s="281"/>
    </row>
    <row r="124" spans="2:12" s="60" customFormat="1" ht="15" customHeight="1" x14ac:dyDescent="0.15">
      <c r="B124" s="55"/>
      <c r="C124" s="55"/>
      <c r="D124" s="56"/>
      <c r="E124" s="55"/>
      <c r="F124" s="55"/>
      <c r="G124" s="281"/>
      <c r="H124" s="281"/>
      <c r="I124" s="56"/>
      <c r="J124" s="281"/>
      <c r="K124" s="281"/>
      <c r="L124" s="281"/>
    </row>
    <row r="125" spans="2:12" s="60" customFormat="1" ht="15" customHeight="1" x14ac:dyDescent="0.15">
      <c r="B125" s="55"/>
      <c r="C125" s="55"/>
      <c r="D125" s="56"/>
      <c r="E125" s="55"/>
      <c r="F125" s="55"/>
      <c r="G125" s="281"/>
      <c r="H125" s="281"/>
      <c r="I125" s="56"/>
      <c r="J125" s="281"/>
      <c r="K125" s="281"/>
      <c r="L125" s="281"/>
    </row>
    <row r="126" spans="2:12" s="60" customFormat="1" ht="15" customHeight="1" x14ac:dyDescent="0.15">
      <c r="B126" s="55"/>
      <c r="C126" s="55"/>
      <c r="D126" s="56"/>
      <c r="E126" s="55"/>
      <c r="F126" s="55"/>
      <c r="G126" s="281"/>
      <c r="H126" s="281"/>
      <c r="I126" s="56"/>
      <c r="J126" s="281"/>
      <c r="K126" s="281"/>
      <c r="L126" s="281"/>
    </row>
    <row r="127" spans="2:12" s="60" customFormat="1" ht="15" customHeight="1" x14ac:dyDescent="0.15">
      <c r="B127" s="55"/>
      <c r="C127" s="55"/>
      <c r="D127" s="56"/>
      <c r="E127" s="55"/>
      <c r="F127" s="55"/>
      <c r="G127" s="281"/>
      <c r="H127" s="281"/>
      <c r="I127" s="56"/>
      <c r="J127" s="281"/>
      <c r="K127" s="281"/>
      <c r="L127" s="281"/>
    </row>
    <row r="128" spans="2:12" s="60" customFormat="1" ht="15" customHeight="1" x14ac:dyDescent="0.15">
      <c r="B128" s="55"/>
      <c r="C128" s="55"/>
      <c r="D128" s="56"/>
      <c r="E128" s="55"/>
      <c r="F128" s="55"/>
      <c r="G128" s="281"/>
      <c r="H128" s="281"/>
      <c r="I128" s="56"/>
      <c r="J128" s="281"/>
      <c r="K128" s="281"/>
      <c r="L128" s="281"/>
    </row>
    <row r="129" spans="2:12" s="60" customFormat="1" ht="15" customHeight="1" x14ac:dyDescent="0.15">
      <c r="B129" s="55"/>
      <c r="C129" s="55"/>
      <c r="D129" s="56"/>
      <c r="E129" s="55"/>
      <c r="F129" s="55"/>
      <c r="G129" s="281"/>
      <c r="H129" s="281"/>
      <c r="I129" s="56"/>
      <c r="J129" s="281"/>
      <c r="K129" s="281"/>
      <c r="L129" s="281"/>
    </row>
    <row r="130" spans="2:12" s="60" customFormat="1" ht="15" customHeight="1" x14ac:dyDescent="0.15">
      <c r="B130" s="55"/>
      <c r="C130" s="55"/>
      <c r="D130" s="56"/>
      <c r="E130" s="55"/>
      <c r="F130" s="55"/>
      <c r="G130" s="281"/>
      <c r="H130" s="281"/>
      <c r="I130" s="56"/>
      <c r="J130" s="281"/>
      <c r="K130" s="281"/>
      <c r="L130" s="281"/>
    </row>
    <row r="131" spans="2:12" s="60" customFormat="1" ht="15" customHeight="1" x14ac:dyDescent="0.15">
      <c r="B131" s="55"/>
      <c r="C131" s="55"/>
      <c r="D131" s="56"/>
      <c r="E131" s="55"/>
      <c r="F131" s="55"/>
      <c r="G131" s="281"/>
      <c r="H131" s="281"/>
      <c r="I131" s="56"/>
      <c r="J131" s="281"/>
      <c r="K131" s="281"/>
      <c r="L131" s="281"/>
    </row>
    <row r="132" spans="2:12" s="60" customFormat="1" ht="15" customHeight="1" x14ac:dyDescent="0.15">
      <c r="B132" s="55"/>
      <c r="C132" s="55"/>
      <c r="D132" s="56"/>
      <c r="E132" s="55"/>
      <c r="F132" s="55"/>
      <c r="G132" s="281"/>
      <c r="H132" s="281"/>
      <c r="I132" s="56"/>
      <c r="J132" s="281"/>
      <c r="K132" s="281"/>
      <c r="L132" s="281"/>
    </row>
    <row r="133" spans="2:12" s="60" customFormat="1" ht="15" customHeight="1" x14ac:dyDescent="0.15">
      <c r="B133" s="55"/>
      <c r="C133" s="55"/>
      <c r="D133" s="56"/>
      <c r="E133" s="55"/>
      <c r="F133" s="55"/>
      <c r="G133" s="281"/>
      <c r="H133" s="281"/>
      <c r="I133" s="56"/>
      <c r="J133" s="281"/>
      <c r="K133" s="281"/>
      <c r="L133" s="281"/>
    </row>
    <row r="134" spans="2:12" s="60" customFormat="1" ht="15" customHeight="1" x14ac:dyDescent="0.15">
      <c r="B134" s="55"/>
      <c r="C134" s="55"/>
      <c r="D134" s="56"/>
      <c r="E134" s="55"/>
      <c r="F134" s="55"/>
      <c r="G134" s="281"/>
      <c r="H134" s="281"/>
      <c r="I134" s="56"/>
      <c r="J134" s="281"/>
      <c r="K134" s="281"/>
      <c r="L134" s="281"/>
    </row>
    <row r="135" spans="2:12" s="60" customFormat="1" ht="15" customHeight="1" x14ac:dyDescent="0.15">
      <c r="B135" s="55"/>
      <c r="C135" s="55"/>
      <c r="D135" s="56"/>
      <c r="E135" s="55"/>
      <c r="F135" s="55"/>
      <c r="G135" s="281"/>
      <c r="H135" s="281"/>
      <c r="I135" s="56"/>
      <c r="J135" s="281"/>
      <c r="K135" s="281"/>
      <c r="L135" s="281"/>
    </row>
    <row r="136" spans="2:12" s="60" customFormat="1" ht="15" customHeight="1" x14ac:dyDescent="0.15">
      <c r="B136" s="55"/>
      <c r="C136" s="55"/>
      <c r="D136" s="56"/>
      <c r="E136" s="55"/>
      <c r="F136" s="55"/>
      <c r="G136" s="281"/>
      <c r="H136" s="281"/>
      <c r="I136" s="56"/>
      <c r="J136" s="281"/>
      <c r="K136" s="281"/>
      <c r="L136" s="281"/>
    </row>
    <row r="137" spans="2:12" s="60" customFormat="1" ht="15" customHeight="1" x14ac:dyDescent="0.15">
      <c r="B137" s="55"/>
      <c r="C137" s="55"/>
      <c r="D137" s="56"/>
      <c r="E137" s="55"/>
      <c r="F137" s="55"/>
      <c r="G137" s="281"/>
      <c r="H137" s="281"/>
      <c r="I137" s="56"/>
      <c r="J137" s="281"/>
      <c r="K137" s="281"/>
      <c r="L137" s="281"/>
    </row>
    <row r="138" spans="2:12" s="60" customFormat="1" ht="15" customHeight="1" x14ac:dyDescent="0.15">
      <c r="B138" s="55"/>
      <c r="C138" s="55"/>
      <c r="D138" s="56"/>
      <c r="E138" s="55"/>
      <c r="F138" s="55"/>
      <c r="G138" s="281"/>
      <c r="H138" s="281"/>
      <c r="I138" s="56"/>
      <c r="J138" s="281"/>
      <c r="K138" s="281"/>
      <c r="L138" s="281"/>
    </row>
    <row r="139" spans="2:12" s="60" customFormat="1" ht="15" customHeight="1" x14ac:dyDescent="0.15">
      <c r="B139" s="55"/>
      <c r="C139" s="55"/>
      <c r="D139" s="56"/>
      <c r="E139" s="55"/>
      <c r="F139" s="55"/>
      <c r="G139" s="281"/>
      <c r="H139" s="281"/>
      <c r="I139" s="56"/>
      <c r="J139" s="281"/>
      <c r="K139" s="281"/>
      <c r="L139" s="281"/>
    </row>
    <row r="140" spans="2:12" s="60" customFormat="1" ht="15" customHeight="1" x14ac:dyDescent="0.15">
      <c r="B140" s="55"/>
      <c r="C140" s="55"/>
      <c r="D140" s="56"/>
      <c r="E140" s="55"/>
      <c r="F140" s="55"/>
      <c r="G140" s="281"/>
      <c r="H140" s="281"/>
      <c r="I140" s="56"/>
      <c r="J140" s="281"/>
      <c r="K140" s="281"/>
      <c r="L140" s="281"/>
    </row>
    <row r="141" spans="2:12" s="60" customFormat="1" ht="15" customHeight="1" x14ac:dyDescent="0.15">
      <c r="B141" s="55"/>
      <c r="C141" s="55"/>
      <c r="D141" s="56"/>
      <c r="E141" s="55"/>
      <c r="F141" s="55"/>
      <c r="G141" s="281"/>
      <c r="H141" s="281"/>
      <c r="I141" s="56"/>
      <c r="J141" s="281"/>
      <c r="K141" s="281"/>
      <c r="L141" s="281"/>
    </row>
    <row r="142" spans="2:12" s="60" customFormat="1" ht="15" customHeight="1" x14ac:dyDescent="0.15">
      <c r="B142" s="55"/>
      <c r="C142" s="55"/>
      <c r="D142" s="56"/>
      <c r="E142" s="55"/>
      <c r="F142" s="55"/>
      <c r="G142" s="281"/>
      <c r="H142" s="281"/>
      <c r="I142" s="56"/>
      <c r="J142" s="281"/>
      <c r="K142" s="281"/>
      <c r="L142" s="281"/>
    </row>
    <row r="143" spans="2:12" s="60" customFormat="1" ht="15" customHeight="1" x14ac:dyDescent="0.15">
      <c r="B143" s="55"/>
      <c r="C143" s="55"/>
      <c r="D143" s="56"/>
      <c r="E143" s="55"/>
      <c r="F143" s="55"/>
      <c r="G143" s="281"/>
      <c r="H143" s="281"/>
      <c r="I143" s="56"/>
      <c r="J143" s="281"/>
      <c r="K143" s="281"/>
      <c r="L143" s="281"/>
    </row>
    <row r="144" spans="2:12" s="60" customFormat="1" ht="15" customHeight="1" x14ac:dyDescent="0.15">
      <c r="B144" s="55"/>
      <c r="C144" s="55"/>
      <c r="D144" s="56"/>
      <c r="E144" s="55"/>
      <c r="F144" s="55"/>
      <c r="G144" s="281"/>
      <c r="H144" s="281"/>
      <c r="I144" s="56"/>
      <c r="J144" s="281"/>
      <c r="K144" s="281"/>
      <c r="L144" s="281"/>
    </row>
    <row r="145" spans="2:12" s="60" customFormat="1" ht="15" customHeight="1" x14ac:dyDescent="0.15">
      <c r="B145" s="55"/>
      <c r="C145" s="55"/>
      <c r="D145" s="56"/>
      <c r="E145" s="55"/>
      <c r="F145" s="55"/>
      <c r="G145" s="281"/>
      <c r="H145" s="281"/>
      <c r="I145" s="56"/>
      <c r="J145" s="281"/>
      <c r="K145" s="281"/>
      <c r="L145" s="281"/>
    </row>
    <row r="146" spans="2:12" s="60" customFormat="1" ht="15" customHeight="1" x14ac:dyDescent="0.15">
      <c r="B146" s="55"/>
      <c r="C146" s="55"/>
      <c r="D146" s="56"/>
      <c r="E146" s="55"/>
      <c r="F146" s="55"/>
      <c r="G146" s="281"/>
      <c r="H146" s="281"/>
      <c r="I146" s="56"/>
      <c r="J146" s="281"/>
      <c r="K146" s="281"/>
      <c r="L146" s="281"/>
    </row>
    <row r="147" spans="2:12" s="60" customFormat="1" ht="15" customHeight="1" x14ac:dyDescent="0.15">
      <c r="B147" s="55"/>
      <c r="C147" s="55"/>
      <c r="D147" s="56"/>
      <c r="E147" s="55"/>
      <c r="F147" s="55"/>
      <c r="G147" s="281"/>
      <c r="H147" s="281"/>
      <c r="I147" s="56"/>
      <c r="J147" s="281"/>
      <c r="K147" s="281"/>
      <c r="L147" s="281"/>
    </row>
    <row r="148" spans="2:12" s="60" customFormat="1" ht="15" customHeight="1" x14ac:dyDescent="0.15">
      <c r="B148" s="55"/>
      <c r="C148" s="55"/>
      <c r="D148" s="56"/>
      <c r="E148" s="55"/>
      <c r="F148" s="55"/>
      <c r="G148" s="281"/>
      <c r="H148" s="281"/>
      <c r="I148" s="56"/>
      <c r="J148" s="281"/>
      <c r="K148" s="281"/>
      <c r="L148" s="281"/>
    </row>
    <row r="149" spans="2:12" s="60" customFormat="1" ht="15" customHeight="1" x14ac:dyDescent="0.15">
      <c r="B149" s="55"/>
      <c r="C149" s="55"/>
      <c r="D149" s="56"/>
      <c r="E149" s="55"/>
      <c r="F149" s="55"/>
      <c r="G149" s="281"/>
      <c r="H149" s="281"/>
      <c r="I149" s="56"/>
      <c r="J149" s="281"/>
      <c r="K149" s="281"/>
      <c r="L149" s="281"/>
    </row>
    <row r="150" spans="2:12" s="60" customFormat="1" ht="15" customHeight="1" x14ac:dyDescent="0.15">
      <c r="B150" s="55"/>
      <c r="C150" s="55"/>
      <c r="D150" s="56"/>
      <c r="E150" s="55"/>
      <c r="F150" s="55"/>
      <c r="G150" s="281"/>
      <c r="H150" s="281"/>
      <c r="I150" s="56"/>
      <c r="J150" s="281"/>
      <c r="K150" s="281"/>
      <c r="L150" s="281"/>
    </row>
    <row r="151" spans="2:12" s="60" customFormat="1" ht="15" customHeight="1" x14ac:dyDescent="0.15">
      <c r="B151" s="55"/>
      <c r="C151" s="55"/>
      <c r="D151" s="56"/>
      <c r="E151" s="55"/>
      <c r="F151" s="55"/>
      <c r="G151" s="281"/>
      <c r="H151" s="281"/>
      <c r="I151" s="56"/>
      <c r="J151" s="281"/>
      <c r="K151" s="281"/>
      <c r="L151" s="281"/>
    </row>
    <row r="152" spans="2:12" s="60" customFormat="1" ht="15" customHeight="1" x14ac:dyDescent="0.15">
      <c r="B152" s="55"/>
      <c r="C152" s="55"/>
      <c r="D152" s="56"/>
      <c r="E152" s="55"/>
      <c r="F152" s="55"/>
      <c r="G152" s="281"/>
      <c r="H152" s="281"/>
      <c r="I152" s="56"/>
      <c r="J152" s="281"/>
      <c r="K152" s="281"/>
      <c r="L152" s="281"/>
    </row>
    <row r="153" spans="2:12" s="60" customFormat="1" ht="15" customHeight="1" x14ac:dyDescent="0.15">
      <c r="B153" s="55"/>
      <c r="C153" s="55"/>
      <c r="D153" s="56"/>
      <c r="E153" s="55"/>
      <c r="F153" s="55"/>
      <c r="G153" s="281"/>
      <c r="H153" s="281"/>
      <c r="I153" s="56"/>
      <c r="J153" s="281"/>
      <c r="K153" s="281"/>
      <c r="L153" s="281"/>
    </row>
    <row r="154" spans="2:12" s="60" customFormat="1" ht="15" customHeight="1" x14ac:dyDescent="0.15">
      <c r="B154" s="55"/>
      <c r="C154" s="55"/>
      <c r="D154" s="56"/>
      <c r="E154" s="55"/>
      <c r="F154" s="55"/>
      <c r="G154" s="281"/>
      <c r="H154" s="281"/>
      <c r="I154" s="56"/>
      <c r="J154" s="281"/>
      <c r="K154" s="281"/>
      <c r="L154" s="281"/>
    </row>
    <row r="155" spans="2:12" s="60" customFormat="1" ht="15" customHeight="1" x14ac:dyDescent="0.15">
      <c r="B155" s="55"/>
      <c r="C155" s="55"/>
      <c r="D155" s="56"/>
      <c r="E155" s="55"/>
      <c r="F155" s="55"/>
      <c r="G155" s="281"/>
      <c r="H155" s="281"/>
      <c r="I155" s="56"/>
      <c r="J155" s="281"/>
      <c r="K155" s="281"/>
      <c r="L155" s="281"/>
    </row>
    <row r="156" spans="2:12" s="60" customFormat="1" ht="15" customHeight="1" x14ac:dyDescent="0.15">
      <c r="B156" s="55"/>
      <c r="C156" s="55"/>
      <c r="D156" s="56"/>
      <c r="E156" s="55"/>
      <c r="F156" s="55"/>
      <c r="G156" s="281"/>
      <c r="H156" s="281"/>
      <c r="I156" s="56"/>
      <c r="J156" s="281"/>
      <c r="K156" s="281"/>
      <c r="L156" s="281"/>
    </row>
    <row r="157" spans="2:12" s="60" customFormat="1" ht="15" customHeight="1" x14ac:dyDescent="0.15">
      <c r="B157" s="55"/>
      <c r="C157" s="55"/>
      <c r="D157" s="56"/>
      <c r="E157" s="55"/>
      <c r="F157" s="55"/>
      <c r="G157" s="281"/>
      <c r="H157" s="281"/>
      <c r="I157" s="56"/>
      <c r="J157" s="281"/>
      <c r="K157" s="281"/>
      <c r="L157" s="281"/>
    </row>
    <row r="158" spans="2:12" s="60" customFormat="1" ht="15" customHeight="1" x14ac:dyDescent="0.15">
      <c r="B158" s="55"/>
      <c r="C158" s="55"/>
      <c r="D158" s="56"/>
      <c r="E158" s="55"/>
      <c r="F158" s="55"/>
      <c r="G158" s="281"/>
      <c r="H158" s="281"/>
      <c r="I158" s="56"/>
      <c r="J158" s="281"/>
      <c r="K158" s="281"/>
      <c r="L158" s="281"/>
    </row>
    <row r="159" spans="2:12" s="60" customFormat="1" ht="15" customHeight="1" x14ac:dyDescent="0.15">
      <c r="B159" s="55"/>
      <c r="C159" s="55"/>
      <c r="D159" s="56"/>
      <c r="E159" s="55"/>
      <c r="F159" s="55"/>
      <c r="G159" s="281"/>
      <c r="H159" s="281"/>
      <c r="I159" s="56"/>
      <c r="J159" s="281"/>
      <c r="K159" s="281"/>
      <c r="L159" s="281"/>
    </row>
    <row r="160" spans="2:12" s="60" customFormat="1" ht="15" customHeight="1" x14ac:dyDescent="0.15">
      <c r="B160" s="55"/>
      <c r="C160" s="55"/>
      <c r="D160" s="56"/>
      <c r="E160" s="55"/>
      <c r="F160" s="55"/>
      <c r="G160" s="281"/>
      <c r="H160" s="281"/>
      <c r="I160" s="56"/>
      <c r="J160" s="281"/>
      <c r="K160" s="281"/>
      <c r="L160" s="281"/>
    </row>
    <row r="161" spans="2:12" s="60" customFormat="1" ht="15" customHeight="1" x14ac:dyDescent="0.15">
      <c r="B161" s="55"/>
      <c r="C161" s="55"/>
      <c r="D161" s="56"/>
      <c r="E161" s="55"/>
      <c r="F161" s="55"/>
      <c r="G161" s="281"/>
      <c r="H161" s="281"/>
      <c r="I161" s="56"/>
      <c r="J161" s="281"/>
      <c r="K161" s="281"/>
      <c r="L161" s="281"/>
    </row>
    <row r="162" spans="2:12" s="60" customFormat="1" ht="15" customHeight="1" x14ac:dyDescent="0.15">
      <c r="B162" s="55"/>
      <c r="C162" s="55"/>
      <c r="D162" s="56"/>
      <c r="E162" s="55"/>
      <c r="F162" s="55"/>
      <c r="G162" s="281"/>
      <c r="H162" s="281"/>
      <c r="I162" s="56"/>
      <c r="J162" s="281"/>
      <c r="K162" s="281"/>
      <c r="L162" s="281"/>
    </row>
    <row r="163" spans="2:12" s="60" customFormat="1" ht="15" customHeight="1" x14ac:dyDescent="0.15">
      <c r="B163" s="55"/>
      <c r="C163" s="55"/>
      <c r="D163" s="56"/>
      <c r="E163" s="55"/>
      <c r="F163" s="55"/>
      <c r="G163" s="281"/>
      <c r="H163" s="281"/>
      <c r="I163" s="56"/>
      <c r="J163" s="281"/>
      <c r="K163" s="281"/>
      <c r="L163" s="281"/>
    </row>
    <row r="164" spans="2:12" s="60" customFormat="1" ht="15" customHeight="1" x14ac:dyDescent="0.15">
      <c r="B164" s="55"/>
      <c r="C164" s="55"/>
      <c r="D164" s="56"/>
      <c r="E164" s="55"/>
      <c r="F164" s="55"/>
      <c r="G164" s="281"/>
      <c r="H164" s="281"/>
      <c r="I164" s="56"/>
      <c r="J164" s="281"/>
      <c r="K164" s="281"/>
      <c r="L164" s="281"/>
    </row>
    <row r="165" spans="2:12" s="60" customFormat="1" ht="15" customHeight="1" x14ac:dyDescent="0.15">
      <c r="B165" s="55"/>
      <c r="C165" s="55"/>
      <c r="D165" s="56"/>
      <c r="E165" s="55"/>
      <c r="F165" s="55"/>
      <c r="G165" s="281"/>
      <c r="H165" s="281"/>
      <c r="I165" s="56"/>
      <c r="J165" s="281"/>
      <c r="K165" s="281"/>
      <c r="L165" s="281"/>
    </row>
    <row r="166" spans="2:12" s="60" customFormat="1" ht="15" customHeight="1" x14ac:dyDescent="0.15">
      <c r="B166" s="55"/>
      <c r="C166" s="55"/>
      <c r="D166" s="56"/>
      <c r="E166" s="55"/>
      <c r="F166" s="55"/>
      <c r="G166" s="281"/>
      <c r="H166" s="281"/>
      <c r="I166" s="56"/>
      <c r="J166" s="281"/>
      <c r="K166" s="281"/>
      <c r="L166" s="281"/>
    </row>
    <row r="167" spans="2:12" s="60" customFormat="1" ht="15" customHeight="1" x14ac:dyDescent="0.15">
      <c r="B167" s="55"/>
      <c r="C167" s="55"/>
      <c r="D167" s="56"/>
      <c r="E167" s="55"/>
      <c r="F167" s="55"/>
      <c r="G167" s="281"/>
      <c r="H167" s="281"/>
      <c r="I167" s="56"/>
      <c r="J167" s="281"/>
      <c r="K167" s="281"/>
      <c r="L167" s="281"/>
    </row>
    <row r="168" spans="2:12" s="60" customFormat="1" ht="15" customHeight="1" x14ac:dyDescent="0.15">
      <c r="B168" s="55"/>
      <c r="C168" s="55"/>
      <c r="D168" s="56"/>
      <c r="E168" s="55"/>
      <c r="F168" s="55"/>
      <c r="G168" s="281"/>
      <c r="H168" s="281"/>
      <c r="I168" s="56"/>
      <c r="J168" s="281"/>
      <c r="K168" s="281"/>
      <c r="L168" s="281"/>
    </row>
    <row r="169" spans="2:12" s="60" customFormat="1" ht="15" customHeight="1" x14ac:dyDescent="0.15">
      <c r="B169" s="55"/>
      <c r="C169" s="55"/>
      <c r="D169" s="56"/>
      <c r="E169" s="55"/>
      <c r="F169" s="55"/>
      <c r="G169" s="281"/>
      <c r="H169" s="281"/>
      <c r="I169" s="56"/>
      <c r="J169" s="281"/>
      <c r="K169" s="281"/>
      <c r="L169" s="281"/>
    </row>
    <row r="170" spans="2:12" s="60" customFormat="1" ht="15" customHeight="1" x14ac:dyDescent="0.15">
      <c r="B170" s="55"/>
      <c r="C170" s="55"/>
      <c r="D170" s="56"/>
      <c r="E170" s="55"/>
      <c r="F170" s="55"/>
      <c r="G170" s="281"/>
      <c r="H170" s="281"/>
      <c r="I170" s="56"/>
      <c r="J170" s="281"/>
      <c r="K170" s="281"/>
      <c r="L170" s="281"/>
    </row>
    <row r="171" spans="2:12" s="60" customFormat="1" ht="15" customHeight="1" x14ac:dyDescent="0.15">
      <c r="B171" s="55"/>
      <c r="C171" s="55"/>
      <c r="D171" s="56"/>
      <c r="E171" s="55"/>
      <c r="F171" s="55"/>
      <c r="G171" s="281"/>
      <c r="H171" s="281"/>
      <c r="I171" s="56"/>
      <c r="J171" s="281"/>
      <c r="K171" s="281"/>
      <c r="L171" s="281"/>
    </row>
    <row r="172" spans="2:12" s="60" customFormat="1" ht="15" customHeight="1" x14ac:dyDescent="0.15">
      <c r="B172" s="55"/>
      <c r="C172" s="55"/>
      <c r="D172" s="56"/>
      <c r="E172" s="55"/>
      <c r="F172" s="55"/>
      <c r="G172" s="281"/>
      <c r="H172" s="281"/>
      <c r="I172" s="56"/>
      <c r="J172" s="281"/>
      <c r="K172" s="281"/>
      <c r="L172" s="281"/>
    </row>
    <row r="173" spans="2:12" s="60" customFormat="1" ht="15" customHeight="1" x14ac:dyDescent="0.15">
      <c r="B173" s="55"/>
      <c r="C173" s="55"/>
      <c r="D173" s="56"/>
      <c r="E173" s="55"/>
      <c r="F173" s="55"/>
      <c r="G173" s="281"/>
      <c r="H173" s="281"/>
      <c r="I173" s="56"/>
      <c r="J173" s="281"/>
      <c r="K173" s="281"/>
      <c r="L173" s="281"/>
    </row>
    <row r="174" spans="2:12" s="60" customFormat="1" ht="15" customHeight="1" x14ac:dyDescent="0.15">
      <c r="B174" s="55"/>
      <c r="C174" s="55"/>
      <c r="D174" s="56"/>
      <c r="E174" s="55"/>
      <c r="F174" s="55"/>
      <c r="G174" s="281"/>
      <c r="H174" s="281"/>
      <c r="I174" s="56"/>
      <c r="J174" s="281"/>
      <c r="K174" s="281"/>
      <c r="L174" s="281"/>
    </row>
    <row r="175" spans="2:12" s="60" customFormat="1" ht="15" customHeight="1" x14ac:dyDescent="0.15">
      <c r="B175" s="55"/>
      <c r="C175" s="55"/>
      <c r="D175" s="56"/>
      <c r="E175" s="55"/>
      <c r="F175" s="55"/>
      <c r="G175" s="281"/>
      <c r="H175" s="281"/>
      <c r="I175" s="56"/>
      <c r="J175" s="281"/>
      <c r="K175" s="281"/>
      <c r="L175" s="281"/>
    </row>
    <row r="176" spans="2:12" s="60" customFormat="1" ht="15" customHeight="1" x14ac:dyDescent="0.15">
      <c r="B176" s="55"/>
      <c r="C176" s="55"/>
      <c r="D176" s="56"/>
      <c r="E176" s="55"/>
      <c r="F176" s="55"/>
      <c r="G176" s="281"/>
      <c r="H176" s="281"/>
      <c r="I176" s="56"/>
      <c r="J176" s="281"/>
      <c r="K176" s="281"/>
      <c r="L176" s="281"/>
    </row>
    <row r="177" spans="2:12" s="60" customFormat="1" ht="15" customHeight="1" x14ac:dyDescent="0.15">
      <c r="B177" s="55"/>
      <c r="C177" s="55"/>
      <c r="D177" s="56"/>
      <c r="E177" s="55"/>
      <c r="F177" s="55"/>
      <c r="G177" s="281"/>
      <c r="H177" s="281"/>
      <c r="I177" s="56"/>
      <c r="J177" s="281"/>
      <c r="K177" s="281"/>
      <c r="L177" s="281"/>
    </row>
    <row r="178" spans="2:12" s="60" customFormat="1" ht="15" customHeight="1" x14ac:dyDescent="0.15">
      <c r="B178" s="55"/>
      <c r="C178" s="55"/>
      <c r="D178" s="56"/>
      <c r="E178" s="55"/>
      <c r="F178" s="55"/>
      <c r="G178" s="281"/>
      <c r="H178" s="281"/>
      <c r="I178" s="56"/>
      <c r="J178" s="281"/>
      <c r="K178" s="281"/>
      <c r="L178" s="281"/>
    </row>
    <row r="179" spans="2:12" s="60" customFormat="1" ht="15" customHeight="1" x14ac:dyDescent="0.15">
      <c r="B179" s="55"/>
      <c r="C179" s="55"/>
      <c r="D179" s="56"/>
      <c r="E179" s="55"/>
      <c r="F179" s="55"/>
      <c r="G179" s="281"/>
      <c r="H179" s="281"/>
      <c r="I179" s="56"/>
      <c r="J179" s="281"/>
      <c r="K179" s="281"/>
      <c r="L179" s="281"/>
    </row>
    <row r="180" spans="2:12" s="60" customFormat="1" ht="15" customHeight="1" x14ac:dyDescent="0.15">
      <c r="B180" s="55"/>
      <c r="C180" s="55"/>
      <c r="D180" s="56"/>
      <c r="E180" s="55"/>
      <c r="F180" s="55"/>
      <c r="G180" s="281"/>
      <c r="H180" s="281"/>
      <c r="I180" s="56"/>
      <c r="J180" s="281"/>
      <c r="K180" s="281"/>
      <c r="L180" s="281"/>
    </row>
    <row r="181" spans="2:12" s="60" customFormat="1" ht="15" customHeight="1" x14ac:dyDescent="0.15">
      <c r="B181" s="55"/>
      <c r="C181" s="55"/>
      <c r="D181" s="56"/>
      <c r="E181" s="55"/>
      <c r="F181" s="55"/>
      <c r="G181" s="281"/>
      <c r="H181" s="281"/>
      <c r="I181" s="56"/>
      <c r="J181" s="281"/>
      <c r="K181" s="281"/>
      <c r="L181" s="281"/>
    </row>
    <row r="182" spans="2:12" s="60" customFormat="1" ht="15" customHeight="1" x14ac:dyDescent="0.15">
      <c r="B182" s="55"/>
      <c r="C182" s="55"/>
      <c r="D182" s="56"/>
      <c r="E182" s="55"/>
      <c r="F182" s="55"/>
      <c r="G182" s="281"/>
      <c r="H182" s="281"/>
      <c r="I182" s="56"/>
      <c r="J182" s="281"/>
      <c r="K182" s="281"/>
      <c r="L182" s="281"/>
    </row>
    <row r="183" spans="2:12" s="60" customFormat="1" ht="15" customHeight="1" x14ac:dyDescent="0.15">
      <c r="B183" s="55"/>
      <c r="C183" s="55"/>
      <c r="D183" s="56"/>
      <c r="E183" s="55"/>
      <c r="F183" s="55"/>
      <c r="G183" s="281"/>
      <c r="H183" s="281"/>
      <c r="I183" s="56"/>
      <c r="J183" s="281"/>
      <c r="K183" s="281"/>
      <c r="L183" s="281"/>
    </row>
    <row r="184" spans="2:12" s="60" customFormat="1" ht="15" customHeight="1" x14ac:dyDescent="0.15">
      <c r="B184" s="55"/>
      <c r="C184" s="55"/>
      <c r="D184" s="56"/>
      <c r="E184" s="55"/>
      <c r="F184" s="55"/>
      <c r="G184" s="281"/>
      <c r="H184" s="281"/>
      <c r="I184" s="56"/>
      <c r="J184" s="281"/>
      <c r="K184" s="281"/>
      <c r="L184" s="281"/>
    </row>
    <row r="185" spans="2:12" s="60" customFormat="1" ht="15" customHeight="1" x14ac:dyDescent="0.15">
      <c r="B185" s="55"/>
      <c r="C185" s="55"/>
      <c r="D185" s="56"/>
      <c r="E185" s="55"/>
      <c r="F185" s="55"/>
      <c r="G185" s="281"/>
      <c r="H185" s="281"/>
      <c r="I185" s="56"/>
      <c r="J185" s="281"/>
      <c r="K185" s="281"/>
      <c r="L185" s="281"/>
    </row>
    <row r="186" spans="2:12" s="60" customFormat="1" ht="15" customHeight="1" x14ac:dyDescent="0.15">
      <c r="B186" s="55"/>
      <c r="C186" s="55"/>
      <c r="D186" s="56"/>
      <c r="E186" s="55"/>
      <c r="F186" s="55"/>
      <c r="G186" s="281"/>
      <c r="H186" s="281"/>
      <c r="I186" s="56"/>
      <c r="J186" s="281"/>
      <c r="K186" s="281"/>
      <c r="L186" s="281"/>
    </row>
    <row r="187" spans="2:12" s="60" customFormat="1" ht="15" customHeight="1" x14ac:dyDescent="0.15">
      <c r="B187" s="55"/>
      <c r="C187" s="55"/>
      <c r="D187" s="56"/>
      <c r="E187" s="55"/>
      <c r="F187" s="55"/>
      <c r="G187" s="281"/>
      <c r="H187" s="281"/>
      <c r="I187" s="56"/>
      <c r="J187" s="281"/>
      <c r="K187" s="281"/>
      <c r="L187" s="281"/>
    </row>
    <row r="188" spans="2:12" s="60" customFormat="1" ht="15" customHeight="1" x14ac:dyDescent="0.15">
      <c r="B188" s="55"/>
      <c r="C188" s="55"/>
      <c r="D188" s="56"/>
      <c r="E188" s="55"/>
      <c r="F188" s="55"/>
      <c r="G188" s="281"/>
      <c r="H188" s="281"/>
      <c r="I188" s="56"/>
      <c r="J188" s="281"/>
      <c r="K188" s="281"/>
      <c r="L188" s="281"/>
    </row>
    <row r="189" spans="2:12" s="60" customFormat="1" ht="15" customHeight="1" x14ac:dyDescent="0.15">
      <c r="B189" s="55"/>
      <c r="C189" s="55"/>
      <c r="D189" s="56"/>
      <c r="E189" s="55"/>
      <c r="F189" s="55"/>
      <c r="G189" s="281"/>
      <c r="H189" s="281"/>
      <c r="I189" s="56"/>
      <c r="J189" s="281"/>
      <c r="K189" s="281"/>
      <c r="L189" s="281"/>
    </row>
    <row r="190" spans="2:12" s="60" customFormat="1" ht="15" customHeight="1" x14ac:dyDescent="0.15">
      <c r="B190" s="55"/>
      <c r="C190" s="55"/>
      <c r="D190" s="56"/>
      <c r="E190" s="55"/>
      <c r="F190" s="55"/>
      <c r="G190" s="281"/>
      <c r="H190" s="281"/>
      <c r="I190" s="56"/>
      <c r="J190" s="281"/>
      <c r="K190" s="281"/>
      <c r="L190" s="281"/>
    </row>
    <row r="191" spans="2:12" s="60" customFormat="1" ht="15" customHeight="1" x14ac:dyDescent="0.15">
      <c r="B191" s="55"/>
      <c r="C191" s="55"/>
      <c r="D191" s="56"/>
      <c r="E191" s="55"/>
      <c r="F191" s="55"/>
      <c r="G191" s="281"/>
      <c r="H191" s="281"/>
      <c r="I191" s="56"/>
      <c r="J191" s="281"/>
      <c r="K191" s="281"/>
      <c r="L191" s="281"/>
    </row>
    <row r="192" spans="2:12" s="60" customFormat="1" ht="15" customHeight="1" x14ac:dyDescent="0.15">
      <c r="B192" s="55"/>
      <c r="C192" s="55"/>
      <c r="D192" s="56"/>
      <c r="E192" s="55"/>
      <c r="F192" s="55"/>
      <c r="G192" s="281"/>
      <c r="H192" s="281"/>
      <c r="I192" s="56"/>
      <c r="J192" s="281"/>
      <c r="K192" s="281"/>
      <c r="L192" s="281"/>
    </row>
    <row r="193" spans="2:12" s="60" customFormat="1" ht="15" customHeight="1" x14ac:dyDescent="0.15">
      <c r="B193" s="55"/>
      <c r="C193" s="55"/>
      <c r="D193" s="56"/>
      <c r="E193" s="55"/>
      <c r="F193" s="55"/>
      <c r="G193" s="281"/>
      <c r="H193" s="281"/>
      <c r="I193" s="56"/>
      <c r="J193" s="281"/>
      <c r="K193" s="281"/>
      <c r="L193" s="281"/>
    </row>
    <row r="194" spans="2:12" s="60" customFormat="1" ht="15" customHeight="1" x14ac:dyDescent="0.15">
      <c r="B194" s="55"/>
      <c r="C194" s="55"/>
      <c r="D194" s="56"/>
      <c r="E194" s="55"/>
      <c r="F194" s="55"/>
      <c r="G194" s="281"/>
      <c r="H194" s="281"/>
      <c r="I194" s="56"/>
      <c r="J194" s="281"/>
      <c r="K194" s="281"/>
      <c r="L194" s="281"/>
    </row>
    <row r="195" spans="2:12" s="60" customFormat="1" ht="15" customHeight="1" x14ac:dyDescent="0.15">
      <c r="B195" s="55"/>
      <c r="C195" s="55"/>
      <c r="D195" s="56"/>
      <c r="E195" s="55"/>
      <c r="F195" s="55"/>
      <c r="G195" s="281"/>
      <c r="H195" s="281"/>
      <c r="I195" s="56"/>
      <c r="J195" s="281"/>
      <c r="K195" s="281"/>
      <c r="L195" s="281"/>
    </row>
    <row r="196" spans="2:12" s="60" customFormat="1" ht="15" customHeight="1" x14ac:dyDescent="0.15">
      <c r="B196" s="55"/>
      <c r="C196" s="55"/>
      <c r="D196" s="56"/>
      <c r="E196" s="55"/>
      <c r="F196" s="55"/>
      <c r="G196" s="281"/>
      <c r="H196" s="281"/>
      <c r="I196" s="56"/>
      <c r="J196" s="281"/>
      <c r="K196" s="281"/>
      <c r="L196" s="281"/>
    </row>
    <row r="197" spans="2:12" s="60" customFormat="1" ht="15" customHeight="1" x14ac:dyDescent="0.15">
      <c r="B197" s="55"/>
      <c r="C197" s="55"/>
      <c r="D197" s="56"/>
      <c r="E197" s="55"/>
      <c r="F197" s="55"/>
      <c r="G197" s="281"/>
      <c r="H197" s="281"/>
      <c r="I197" s="56"/>
      <c r="J197" s="281"/>
      <c r="K197" s="281"/>
      <c r="L197" s="281"/>
    </row>
    <row r="198" spans="2:12" s="60" customFormat="1" ht="15" customHeight="1" x14ac:dyDescent="0.15">
      <c r="B198" s="55"/>
      <c r="C198" s="55"/>
      <c r="D198" s="56"/>
      <c r="E198" s="55"/>
      <c r="F198" s="55"/>
      <c r="G198" s="281"/>
      <c r="H198" s="281"/>
      <c r="I198" s="56"/>
      <c r="J198" s="281"/>
      <c r="K198" s="281"/>
      <c r="L198" s="281"/>
    </row>
    <row r="199" spans="2:12" s="60" customFormat="1" ht="15" customHeight="1" x14ac:dyDescent="0.15">
      <c r="B199" s="55"/>
      <c r="C199" s="55"/>
      <c r="D199" s="56"/>
      <c r="E199" s="55"/>
      <c r="F199" s="55"/>
      <c r="G199" s="281"/>
      <c r="H199" s="281"/>
      <c r="I199" s="56"/>
      <c r="J199" s="281"/>
      <c r="K199" s="281"/>
      <c r="L199" s="281"/>
    </row>
    <row r="200" spans="2:12" s="60" customFormat="1" ht="15" customHeight="1" x14ac:dyDescent="0.15">
      <c r="B200" s="55"/>
      <c r="C200" s="55"/>
      <c r="D200" s="56"/>
      <c r="E200" s="55"/>
      <c r="F200" s="55"/>
      <c r="G200" s="281"/>
      <c r="H200" s="281"/>
      <c r="I200" s="56"/>
      <c r="J200" s="281"/>
      <c r="K200" s="281"/>
      <c r="L200" s="281"/>
    </row>
    <row r="201" spans="2:12" s="60" customFormat="1" ht="15" customHeight="1" x14ac:dyDescent="0.15">
      <c r="B201" s="55"/>
      <c r="C201" s="55"/>
      <c r="D201" s="56"/>
      <c r="E201" s="55"/>
      <c r="F201" s="55"/>
      <c r="G201" s="281"/>
      <c r="H201" s="281"/>
      <c r="I201" s="56"/>
      <c r="J201" s="281"/>
      <c r="K201" s="281"/>
      <c r="L201" s="281"/>
    </row>
    <row r="202" spans="2:12" s="60" customFormat="1" ht="15" customHeight="1" x14ac:dyDescent="0.15">
      <c r="B202" s="55"/>
      <c r="C202" s="55"/>
      <c r="D202" s="56"/>
      <c r="E202" s="55"/>
      <c r="F202" s="55"/>
      <c r="G202" s="281"/>
      <c r="H202" s="281"/>
      <c r="I202" s="56"/>
      <c r="J202" s="281"/>
      <c r="K202" s="281"/>
      <c r="L202" s="281"/>
    </row>
    <row r="203" spans="2:12" s="60" customFormat="1" ht="15" customHeight="1" x14ac:dyDescent="0.15">
      <c r="B203" s="55"/>
      <c r="C203" s="55"/>
      <c r="D203" s="56"/>
      <c r="E203" s="55"/>
      <c r="F203" s="55"/>
      <c r="G203" s="281"/>
      <c r="H203" s="281"/>
      <c r="I203" s="56"/>
      <c r="J203" s="281"/>
      <c r="K203" s="281"/>
      <c r="L203" s="281"/>
    </row>
    <row r="204" spans="2:12" s="60" customFormat="1" ht="15" customHeight="1" x14ac:dyDescent="0.15">
      <c r="B204" s="55"/>
      <c r="C204" s="55"/>
      <c r="D204" s="56"/>
      <c r="E204" s="55"/>
      <c r="F204" s="55"/>
      <c r="G204" s="281"/>
      <c r="H204" s="281"/>
      <c r="I204" s="56"/>
      <c r="J204" s="281"/>
      <c r="K204" s="281"/>
      <c r="L204" s="281"/>
    </row>
  </sheetData>
  <mergeCells count="11">
    <mergeCell ref="D61:F61"/>
    <mergeCell ref="D62:F62"/>
    <mergeCell ref="C5:D5"/>
    <mergeCell ref="G5:H5"/>
    <mergeCell ref="M7:O7"/>
    <mergeCell ref="E53:F53"/>
    <mergeCell ref="B1:C1"/>
    <mergeCell ref="C3:D3"/>
    <mergeCell ref="G3:H3"/>
    <mergeCell ref="C7:D7"/>
    <mergeCell ref="G7:H7"/>
  </mergeCells>
  <conditionalFormatting sqref="B9">
    <cfRule type="expression" dxfId="192" priority="189">
      <formula>B9="CURRENCY"</formula>
    </cfRule>
    <cfRule type="containsText" dxfId="191" priority="188" operator="containsText" text="SELECT">
      <formula>NOT(ISERROR(SEARCH("SELECT",B9)))</formula>
    </cfRule>
  </conditionalFormatting>
  <conditionalFormatting sqref="B15:B30">
    <cfRule type="expression" dxfId="190" priority="3">
      <formula>$D15&gt;0</formula>
    </cfRule>
  </conditionalFormatting>
  <conditionalFormatting sqref="B50 E50:F50">
    <cfRule type="expression" dxfId="189" priority="5094">
      <formula>C41="select controls"</formula>
    </cfRule>
  </conditionalFormatting>
  <conditionalFormatting sqref="C13">
    <cfRule type="containsText" dxfId="188" priority="194" operator="containsText" text="SELECT">
      <formula>NOT(ISERROR(SEARCH("SELECT",C13)))</formula>
    </cfRule>
  </conditionalFormatting>
  <conditionalFormatting sqref="C15:C23">
    <cfRule type="containsText" dxfId="187" priority="9" operator="containsText" text="SIZE">
      <formula>NOT(ISERROR(SEARCH("SIZE",C15)))</formula>
    </cfRule>
  </conditionalFormatting>
  <conditionalFormatting sqref="C26">
    <cfRule type="containsText" dxfId="186" priority="202" operator="containsText" text="SELECT CONTROLS">
      <formula>NOT(ISERROR(SEARCH("SELECT CONTROLS",C26)))</formula>
    </cfRule>
  </conditionalFormatting>
  <conditionalFormatting sqref="C27">
    <cfRule type="expression" dxfId="185" priority="197">
      <formula>$C$26="SMARTEC"</formula>
    </cfRule>
    <cfRule type="containsText" dxfId="184" priority="196" operator="containsText" text="st/st">
      <formula>NOT(ISERROR(SEARCH("st/st",C27)))</formula>
    </cfRule>
  </conditionalFormatting>
  <conditionalFormatting sqref="C32:C33">
    <cfRule type="cellIs" dxfId="183" priority="175" operator="greaterThan">
      <formula>0</formula>
    </cfRule>
  </conditionalFormatting>
  <conditionalFormatting sqref="C53:C62">
    <cfRule type="cellIs" dxfId="182" priority="192" operator="lessThan">
      <formula>1</formula>
    </cfRule>
  </conditionalFormatting>
  <conditionalFormatting sqref="C9:D9">
    <cfRule type="cellIs" dxfId="181" priority="184" operator="lessThan">
      <formula>0</formula>
    </cfRule>
    <cfRule type="cellIs" dxfId="180" priority="185" operator="greaterThan">
      <formula>0</formula>
    </cfRule>
  </conditionalFormatting>
  <conditionalFormatting sqref="C30:D30">
    <cfRule type="expression" dxfId="179" priority="201">
      <formula>$C$26="REMOTE TOUCH SCREEN"</formula>
    </cfRule>
    <cfRule type="expression" dxfId="178" priority="200">
      <formula>$C$26="SMARTEC"</formula>
    </cfRule>
  </conditionalFormatting>
  <conditionalFormatting sqref="D27">
    <cfRule type="expression" dxfId="177" priority="198">
      <formula>C26="SMARTEC"</formula>
    </cfRule>
    <cfRule type="expression" dxfId="176" priority="195">
      <formula>C27="st/st enclosure"</formula>
    </cfRule>
  </conditionalFormatting>
  <conditionalFormatting sqref="D30">
    <cfRule type="expression" dxfId="175" priority="199">
      <formula>$C$26="SMARTEC"</formula>
    </cfRule>
  </conditionalFormatting>
  <conditionalFormatting sqref="D39">
    <cfRule type="expression" dxfId="174" priority="214">
      <formula>#REF!="SMARTEC"</formula>
    </cfRule>
    <cfRule type="expression" dxfId="173" priority="213">
      <formula>C39="st/st enclosure"</formula>
    </cfRule>
  </conditionalFormatting>
  <conditionalFormatting sqref="E40:E44">
    <cfRule type="expression" dxfId="172" priority="212">
      <formula>#REF!="select controls"</formula>
    </cfRule>
  </conditionalFormatting>
  <conditionalFormatting sqref="E45 E46:F46 B46:B47 E47:E48 B49 E49:F49">
    <cfRule type="expression" dxfId="171" priority="190">
      <formula>C39="select controls"</formula>
    </cfRule>
  </conditionalFormatting>
  <conditionalFormatting sqref="F41:F45">
    <cfRule type="expression" dxfId="170" priority="1">
      <formula>G35="select controls"</formula>
    </cfRule>
  </conditionalFormatting>
  <conditionalFormatting sqref="G15:G37">
    <cfRule type="cellIs" dxfId="169" priority="10" operator="greaterThan">
      <formula>0</formula>
    </cfRule>
  </conditionalFormatting>
  <conditionalFormatting sqref="G39:G50">
    <cfRule type="cellIs" dxfId="168" priority="23" operator="greaterThan">
      <formula>0</formula>
    </cfRule>
  </conditionalFormatting>
  <conditionalFormatting sqref="G53:G62">
    <cfRule type="expression" dxfId="167" priority="147">
      <formula>C53&gt;0</formula>
    </cfRule>
  </conditionalFormatting>
  <conditionalFormatting sqref="H13 J13 L13">
    <cfRule type="expression" dxfId="166" priority="204">
      <formula>$B$9="EURO"</formula>
    </cfRule>
  </conditionalFormatting>
  <conditionalFormatting sqref="H23">
    <cfRule type="cellIs" dxfId="165" priority="12" operator="greaterThan">
      <formula>0</formula>
    </cfRule>
  </conditionalFormatting>
  <conditionalFormatting sqref="H25:H62">
    <cfRule type="cellIs" dxfId="164" priority="170" operator="greaterThan">
      <formula>0</formula>
    </cfRule>
  </conditionalFormatting>
  <conditionalFormatting sqref="H15:L22 L53:L62">
    <cfRule type="cellIs" dxfId="163" priority="180" operator="greaterThan">
      <formula>0</formula>
    </cfRule>
  </conditionalFormatting>
  <conditionalFormatting sqref="I15:I37">
    <cfRule type="expression" dxfId="162" priority="13">
      <formula>$C$9&gt;0</formula>
    </cfRule>
  </conditionalFormatting>
  <conditionalFormatting sqref="I23:I37">
    <cfRule type="expression" dxfId="161" priority="14">
      <formula>$C$9&lt;0</formula>
    </cfRule>
  </conditionalFormatting>
  <conditionalFormatting sqref="I39:I50 I53:I62 I15:I22">
    <cfRule type="expression" dxfId="160" priority="210">
      <formula>$C$9&lt;0</formula>
    </cfRule>
  </conditionalFormatting>
  <conditionalFormatting sqref="I39:I50 I53:I62">
    <cfRule type="expression" dxfId="159" priority="209">
      <formula>$C$9&gt;0</formula>
    </cfRule>
  </conditionalFormatting>
  <conditionalFormatting sqref="J38">
    <cfRule type="expression" dxfId="158" priority="205">
      <formula>$B$9="PLN"</formula>
    </cfRule>
    <cfRule type="expression" dxfId="157" priority="206">
      <formula>$B$9="CZK"</formula>
    </cfRule>
    <cfRule type="expression" dxfId="156" priority="207">
      <formula>$B$9="USD"</formula>
    </cfRule>
    <cfRule type="expression" dxfId="155" priority="208">
      <formula>$B$9="EURO"</formula>
    </cfRule>
  </conditionalFormatting>
  <conditionalFormatting sqref="J64:J70">
    <cfRule type="expression" dxfId="154" priority="211">
      <formula>#REF!="EURO"</formula>
    </cfRule>
  </conditionalFormatting>
  <conditionalFormatting sqref="K1:K37">
    <cfRule type="expression" dxfId="153" priority="6">
      <formula>$B$9="USD"</formula>
    </cfRule>
    <cfRule type="expression" dxfId="152" priority="5">
      <formula>$B$9="EURO"</formula>
    </cfRule>
    <cfRule type="expression" dxfId="151" priority="7">
      <formula>$B$9="PLN"</formula>
    </cfRule>
  </conditionalFormatting>
  <conditionalFormatting sqref="K1:K1048576">
    <cfRule type="expression" dxfId="150" priority="8">
      <formula>$B$9="CZK"</formula>
    </cfRule>
  </conditionalFormatting>
  <conditionalFormatting sqref="K15:K37">
    <cfRule type="cellIs" dxfId="149" priority="4" operator="greaterThan">
      <formula>0</formula>
    </cfRule>
  </conditionalFormatting>
  <conditionalFormatting sqref="K39:K50">
    <cfRule type="cellIs" dxfId="148" priority="154" operator="greaterThan">
      <formula>0</formula>
    </cfRule>
  </conditionalFormatting>
  <conditionalFormatting sqref="K39:K1048576">
    <cfRule type="expression" dxfId="147" priority="152">
      <formula>$B$9="PLN"</formula>
    </cfRule>
    <cfRule type="expression" dxfId="146" priority="151">
      <formula>$B$9="USD"</formula>
    </cfRule>
    <cfRule type="expression" dxfId="145" priority="150">
      <formula>$B$9="EURO"</formula>
    </cfRule>
  </conditionalFormatting>
  <conditionalFormatting sqref="K51">
    <cfRule type="cellIs" dxfId="144" priority="183" operator="greaterThan">
      <formula>0</formula>
    </cfRule>
  </conditionalFormatting>
  <conditionalFormatting sqref="K53:K62">
    <cfRule type="cellIs" dxfId="143" priority="149" operator="greaterThan">
      <formula>0</formula>
    </cfRule>
  </conditionalFormatting>
  <conditionalFormatting sqref="L23:L37">
    <cfRule type="cellIs" dxfId="142" priority="11" operator="greaterThan">
      <formula>0</formula>
    </cfRule>
  </conditionalFormatting>
  <conditionalFormatting sqref="L39:L50">
    <cfRule type="cellIs" dxfId="141" priority="161" operator="greaterThan">
      <formula>0</formula>
    </cfRule>
  </conditionalFormatting>
  <conditionalFormatting sqref="T41">
    <cfRule type="cellIs" dxfId="140" priority="160" operator="greaterThan">
      <formula>0</formula>
    </cfRule>
  </conditionalFormatting>
  <dataValidations count="3">
    <dataValidation type="list" allowBlank="1" showInputMessage="1" showErrorMessage="1" sqref="C26" xr:uid="{00000000-0002-0000-A500-000000000000}">
      <formula1>"SELECT CONTROLS,SMARTEC, REMOTE TOUCH SCREEN"</formula1>
    </dataValidation>
    <dataValidation type="list" allowBlank="1" showInputMessage="1" showErrorMessage="1" sqref="C13" xr:uid="{00000000-0002-0000-A500-000001000000}">
      <formula1>"SELECT MODEL,INTERNAL,EXTERNAL"</formula1>
    </dataValidation>
    <dataValidation type="list" allowBlank="1" showInputMessage="1" showErrorMessage="1" sqref="C65534:C65542 C65560:C65561 C65580 C65585 C131070:C131078 C131096:C131097 C131116 C131121 C196606:C196614 C196632:C196633 C196652 C196657 C262142:C262150 C262168:C262169 C262188 C262193 C327678:C327686 C327704:C327705 C327724 C327729 C393214:C393222 C393240:C393241 C393260 C393265 C458750:C458758 C458776:C458777 C458796 C458801 C524286:C524294 C524312:C524313 C524332 C524337 C589822:C589830 C589848:C589849 C589868 C589873 C655358:C655366 C655384:C655385 C655404 C655409 C720894:C720902 C720920:C720921 C720940 C720945 C786430:C786438 C786456:C786457 C786476 C786481 C851966:C851974 C851992:C851993 C852012 C852017 C917502:C917510 C917528:C917529 C917548 C917553 C983038:C983046 C983064:C983065 C983084 C983089 ID15:ID23 ID39:ID44 ID53:ID54 ID65534:ID65542 ID65560:ID65561 ID65580 ID65585 ID131070:ID131078 ID131096:ID131097 ID131116 ID131121 ID196606:ID196614 ID196632:ID196633 ID196652 ID196657 ID262142:ID262150 ID262168:ID262169 ID262188 ID262193 ID327678:ID327686 ID327704:ID327705 ID327724 ID327729 ID393214:ID393222 ID393240:ID393241 ID393260 ID393265 ID458750:ID458758 ID458776:ID458777 ID458796 ID458801 ID524286:ID524294 ID524312:ID524313 ID524332 ID524337 ID589822:ID589830 ID589848:ID589849 ID589868 ID589873 ID655358:ID655366 ID655384:ID655385 ID655404 ID655409 ID720894:ID720902 ID720920:ID720921 ID720940 ID720945 ID786430:ID786438 ID786456:ID786457 ID786476 ID786481 ID851966:ID851974 ID851992:ID851993 ID852012 ID852017 ID917502:ID917510 ID917528:ID917529 ID917548 ID917553 ID983038:ID983046 ID983064:ID983065 ID983084 ID983089 IO65519:IO65529 IO131055:IO131065 IO196591:IO196601 IO262127:IO262137 IO327663:IO327673 IO393199:IO393209 IO458735:IO458745 IO524271:IO524281 IO589807:IO589817 IO655343:IO655353 IO720879:IO720889 IO786415:IO786425 IO851951:IO851961 IO917487:IO917497 IO983023:IO983033 RZ15:RZ23 RZ39:RZ44 RZ53:RZ54 RZ65534:RZ65542 RZ65560:RZ65561 RZ65580 RZ65585 RZ131070:RZ131078 RZ131096:RZ131097 RZ131116 RZ131121 RZ196606:RZ196614 RZ196632:RZ196633 RZ196652 RZ196657 RZ262142:RZ262150 RZ262168:RZ262169 RZ262188 RZ262193 RZ327678:RZ327686 RZ327704:RZ327705 RZ327724 RZ327729 RZ393214:RZ393222 RZ393240:RZ393241 RZ393260 RZ393265 RZ458750:RZ458758 RZ458776:RZ458777 RZ458796 RZ458801 RZ524286:RZ524294 RZ524312:RZ524313 RZ524332 RZ524337 RZ589822:RZ589830 RZ589848:RZ589849 RZ589868 RZ589873 RZ655358:RZ655366 RZ655384:RZ655385 RZ655404 RZ655409 RZ720894:RZ720902 RZ720920:RZ720921 RZ720940 RZ720945 RZ786430:RZ786438 RZ786456:RZ786457 RZ786476 RZ786481 RZ851966:RZ851974 RZ851992:RZ851993 RZ852012 RZ852017 RZ917502:RZ917510 RZ917528:RZ917529 RZ917548 RZ917553 RZ983038:RZ983046 RZ983064:RZ983065 RZ983084 RZ983089 SK65519:SK65529 SK131055:SK131065 SK196591:SK196601 SK262127:SK262137 SK327663:SK327673 SK393199:SK393209 SK458735:SK458745 SK524271:SK524281 SK589807:SK589817 SK655343:SK655353 SK720879:SK720889 SK786415:SK786425 SK851951:SK851961 SK917487:SK917497 SK983023:SK983033 ABV15:ABV23 ABV39:ABV44 ABV53:ABV54 ABV65534:ABV65542 ABV65560:ABV65561 ABV65580 ABV65585 ABV131070:ABV131078 ABV131096:ABV131097 ABV131116 ABV131121 ABV196606:ABV196614 ABV196632:ABV196633 ABV196652 ABV196657 ABV262142:ABV262150 ABV262168:ABV262169 ABV262188 ABV262193 ABV327678:ABV327686 ABV327704:ABV327705 ABV327724 ABV327729 ABV393214:ABV393222 ABV393240:ABV393241 ABV393260 ABV393265 ABV458750:ABV458758 ABV458776:ABV458777 ABV458796 ABV458801 ABV524286:ABV524294 ABV524312:ABV524313 ABV524332 ABV524337 ABV589822:ABV589830 ABV589848:ABV589849 ABV589868 ABV589873 ABV655358:ABV655366 ABV655384:ABV655385 ABV655404 ABV655409 ABV720894:ABV720902 ABV720920:ABV720921 ABV720940 ABV720945 ABV786430:ABV786438 ABV786456:ABV786457 ABV786476 ABV786481 ABV851966:ABV851974 ABV851992:ABV851993 ABV852012 ABV852017 ABV917502:ABV917510 ABV917528:ABV917529 ABV917548 ABV917553 ABV983038:ABV983046 ABV983064:ABV983065 ABV983084 ABV983089 ACG65519:ACG65529 ACG131055:ACG131065 ACG196591:ACG196601 ACG262127:ACG262137 ACG327663:ACG327673 ACG393199:ACG393209 ACG458735:ACG458745 ACG524271:ACG524281 ACG589807:ACG589817 ACG655343:ACG655353 ACG720879:ACG720889 ACG786415:ACG786425 ACG851951:ACG851961 ACG917487:ACG917497 ACG983023:ACG983033 ALR15:ALR23 ALR39:ALR44 ALR53:ALR54 ALR65534:ALR65542 ALR65560:ALR65561 ALR65580 ALR65585 ALR131070:ALR131078 ALR131096:ALR131097 ALR131116 ALR131121 ALR196606:ALR196614 ALR196632:ALR196633 ALR196652 ALR196657 ALR262142:ALR262150 ALR262168:ALR262169 ALR262188 ALR262193 ALR327678:ALR327686 ALR327704:ALR327705 ALR327724 ALR327729 ALR393214:ALR393222 ALR393240:ALR393241 ALR393260 ALR393265 ALR458750:ALR458758 ALR458776:ALR458777 ALR458796 ALR458801 ALR524286:ALR524294 ALR524312:ALR524313 ALR524332 ALR524337 ALR589822:ALR589830 ALR589848:ALR589849 ALR589868 ALR589873 ALR655358:ALR655366 ALR655384:ALR655385 ALR655404 ALR655409 ALR720894:ALR720902 ALR720920:ALR720921 ALR720940 ALR720945 ALR786430:ALR786438 ALR786456:ALR786457 ALR786476 ALR786481 ALR851966:ALR851974 ALR851992:ALR851993 ALR852012 ALR852017 ALR917502:ALR917510 ALR917528:ALR917529 ALR917548 ALR917553 ALR983038:ALR983046 ALR983064:ALR983065 ALR983084 ALR983089 AMC65519:AMC65529 AMC131055:AMC131065 AMC196591:AMC196601 AMC262127:AMC262137 AMC327663:AMC327673 AMC393199:AMC393209 AMC458735:AMC458745 AMC524271:AMC524281 AMC589807:AMC589817 AMC655343:AMC655353 AMC720879:AMC720889 AMC786415:AMC786425 AMC851951:AMC851961 AMC917487:AMC917497 AMC983023:AMC983033 AVN15:AVN23 AVN39:AVN44 AVN53:AVN54 AVN65534:AVN65542 AVN65560:AVN65561 AVN65580 AVN65585 AVN131070:AVN131078 AVN131096:AVN131097 AVN131116 AVN131121 AVN196606:AVN196614 AVN196632:AVN196633 AVN196652 AVN196657 AVN262142:AVN262150 AVN262168:AVN262169 AVN262188 AVN262193 AVN327678:AVN327686 AVN327704:AVN327705 AVN327724 AVN327729 AVN393214:AVN393222 AVN393240:AVN393241 AVN393260 AVN393265 AVN458750:AVN458758 AVN458776:AVN458777 AVN458796 AVN458801 AVN524286:AVN524294 AVN524312:AVN524313 AVN524332 AVN524337 AVN589822:AVN589830 AVN589848:AVN589849 AVN589868 AVN589873 AVN655358:AVN655366 AVN655384:AVN655385 AVN655404 AVN655409 AVN720894:AVN720902 AVN720920:AVN720921 AVN720940 AVN720945 AVN786430:AVN786438 AVN786456:AVN786457 AVN786476 AVN786481 AVN851966:AVN851974 AVN851992:AVN851993 AVN852012 AVN852017 AVN917502:AVN917510 AVN917528:AVN917529 AVN917548 AVN917553 AVN983038:AVN983046 AVN983064:AVN983065 AVN983084 AVN983089 AVY65519:AVY65529 AVY131055:AVY131065 AVY196591:AVY196601 AVY262127:AVY262137 AVY327663:AVY327673 AVY393199:AVY393209 AVY458735:AVY458745 AVY524271:AVY524281 AVY589807:AVY589817 AVY655343:AVY655353 AVY720879:AVY720889 AVY786415:AVY786425 AVY851951:AVY851961 AVY917487:AVY917497 AVY983023:AVY983033 BFJ15:BFJ23 BFJ39:BFJ44 BFJ53:BFJ54 BFJ65534:BFJ65542 BFJ65560:BFJ65561 BFJ65580 BFJ65585 BFJ131070:BFJ131078 BFJ131096:BFJ131097 BFJ131116 BFJ131121 BFJ196606:BFJ196614 BFJ196632:BFJ196633 BFJ196652 BFJ196657 BFJ262142:BFJ262150 BFJ262168:BFJ262169 BFJ262188 BFJ262193 BFJ327678:BFJ327686 BFJ327704:BFJ327705 BFJ327724 BFJ327729 BFJ393214:BFJ393222 BFJ393240:BFJ393241 BFJ393260 BFJ393265 BFJ458750:BFJ458758 BFJ458776:BFJ458777 BFJ458796 BFJ458801 BFJ524286:BFJ524294 BFJ524312:BFJ524313 BFJ524332 BFJ524337 BFJ589822:BFJ589830 BFJ589848:BFJ589849 BFJ589868 BFJ589873 BFJ655358:BFJ655366 BFJ655384:BFJ655385 BFJ655404 BFJ655409 BFJ720894:BFJ720902 BFJ720920:BFJ720921 BFJ720940 BFJ720945 BFJ786430:BFJ786438 BFJ786456:BFJ786457 BFJ786476 BFJ786481 BFJ851966:BFJ851974 BFJ851992:BFJ851993 BFJ852012 BFJ852017 BFJ917502:BFJ917510 BFJ917528:BFJ917529 BFJ917548 BFJ917553 BFJ983038:BFJ983046 BFJ983064:BFJ983065 BFJ983084 BFJ983089 BFU65519:BFU65529 BFU131055:BFU131065 BFU196591:BFU196601 BFU262127:BFU262137 BFU327663:BFU327673 BFU393199:BFU393209 BFU458735:BFU458745 BFU524271:BFU524281 BFU589807:BFU589817 BFU655343:BFU655353 BFU720879:BFU720889 BFU786415:BFU786425 BFU851951:BFU851961 BFU917487:BFU917497 BFU983023:BFU983033 BPF15:BPF23 BPF39:BPF44 BPF53:BPF54 BPF65534:BPF65542 BPF65560:BPF65561 BPF65580 BPF65585 BPF131070:BPF131078 BPF131096:BPF131097 BPF131116 BPF131121 BPF196606:BPF196614 BPF196632:BPF196633 BPF196652 BPF196657 BPF262142:BPF262150 BPF262168:BPF262169 BPF262188 BPF262193 BPF327678:BPF327686 BPF327704:BPF327705 BPF327724 BPF327729 BPF393214:BPF393222 BPF393240:BPF393241 BPF393260 BPF393265 BPF458750:BPF458758 BPF458776:BPF458777 BPF458796 BPF458801 BPF524286:BPF524294 BPF524312:BPF524313 BPF524332 BPF524337 BPF589822:BPF589830 BPF589848:BPF589849 BPF589868 BPF589873 BPF655358:BPF655366 BPF655384:BPF655385 BPF655404 BPF655409 BPF720894:BPF720902 BPF720920:BPF720921 BPF720940 BPF720945 BPF786430:BPF786438 BPF786456:BPF786457 BPF786476 BPF786481 BPF851966:BPF851974 BPF851992:BPF851993 BPF852012 BPF852017 BPF917502:BPF917510 BPF917528:BPF917529 BPF917548 BPF917553 BPF983038:BPF983046 BPF983064:BPF983065 BPF983084 BPF983089 BPQ65519:BPQ65529 BPQ131055:BPQ131065 BPQ196591:BPQ196601 BPQ262127:BPQ262137 BPQ327663:BPQ327673 BPQ393199:BPQ393209 BPQ458735:BPQ458745 BPQ524271:BPQ524281 BPQ589807:BPQ589817 BPQ655343:BPQ655353 BPQ720879:BPQ720889 BPQ786415:BPQ786425 BPQ851951:BPQ851961 BPQ917487:BPQ917497 BPQ983023:BPQ983033 BZB15:BZB23 BZB39:BZB44 BZB53:BZB54 BZB65534:BZB65542 BZB65560:BZB65561 BZB65580 BZB65585 BZB131070:BZB131078 BZB131096:BZB131097 BZB131116 BZB131121 BZB196606:BZB196614 BZB196632:BZB196633 BZB196652 BZB196657 BZB262142:BZB262150 BZB262168:BZB262169 BZB262188 BZB262193 BZB327678:BZB327686 BZB327704:BZB327705 BZB327724 BZB327729 BZB393214:BZB393222 BZB393240:BZB393241 BZB393260 BZB393265 BZB458750:BZB458758 BZB458776:BZB458777 BZB458796 BZB458801 BZB524286:BZB524294 BZB524312:BZB524313 BZB524332 BZB524337 BZB589822:BZB589830 BZB589848:BZB589849 BZB589868 BZB589873 BZB655358:BZB655366 BZB655384:BZB655385 BZB655404 BZB655409 BZB720894:BZB720902 BZB720920:BZB720921 BZB720940 BZB720945 BZB786430:BZB786438 BZB786456:BZB786457 BZB786476 BZB786481 BZB851966:BZB851974 BZB851992:BZB851993 BZB852012 BZB852017 BZB917502:BZB917510 BZB917528:BZB917529 BZB917548 BZB917553 BZB983038:BZB983046 BZB983064:BZB983065 BZB983084 BZB983089 BZM65519:BZM65529 BZM131055:BZM131065 BZM196591:BZM196601 BZM262127:BZM262137 BZM327663:BZM327673 BZM393199:BZM393209 BZM458735:BZM458745 BZM524271:BZM524281 BZM589807:BZM589817 BZM655343:BZM655353 BZM720879:BZM720889 BZM786415:BZM786425 BZM851951:BZM851961 BZM917487:BZM917497 BZM983023:BZM983033 CIX15:CIX23 CIX39:CIX44 CIX53:CIX54 CIX65534:CIX65542 CIX65560:CIX65561 CIX65580 CIX65585 CIX131070:CIX131078 CIX131096:CIX131097 CIX131116 CIX131121 CIX196606:CIX196614 CIX196632:CIX196633 CIX196652 CIX196657 CIX262142:CIX262150 CIX262168:CIX262169 CIX262188 CIX262193 CIX327678:CIX327686 CIX327704:CIX327705 CIX327724 CIX327729 CIX393214:CIX393222 CIX393240:CIX393241 CIX393260 CIX393265 CIX458750:CIX458758 CIX458776:CIX458777 CIX458796 CIX458801 CIX524286:CIX524294 CIX524312:CIX524313 CIX524332 CIX524337 CIX589822:CIX589830 CIX589848:CIX589849 CIX589868 CIX589873 CIX655358:CIX655366 CIX655384:CIX655385 CIX655404 CIX655409 CIX720894:CIX720902 CIX720920:CIX720921 CIX720940 CIX720945 CIX786430:CIX786438 CIX786456:CIX786457 CIX786476 CIX786481 CIX851966:CIX851974 CIX851992:CIX851993 CIX852012 CIX852017 CIX917502:CIX917510 CIX917528:CIX917529 CIX917548 CIX917553 CIX983038:CIX983046 CIX983064:CIX983065 CIX983084 CIX983089 CJI65519:CJI65529 CJI131055:CJI131065 CJI196591:CJI196601 CJI262127:CJI262137 CJI327663:CJI327673 CJI393199:CJI393209 CJI458735:CJI458745 CJI524271:CJI524281 CJI589807:CJI589817 CJI655343:CJI655353 CJI720879:CJI720889 CJI786415:CJI786425 CJI851951:CJI851961 CJI917487:CJI917497 CJI983023:CJI983033 CST15:CST23 CST39:CST44 CST53:CST54 CST65534:CST65542 CST65560:CST65561 CST65580 CST65585 CST131070:CST131078 CST131096:CST131097 CST131116 CST131121 CST196606:CST196614 CST196632:CST196633 CST196652 CST196657 CST262142:CST262150 CST262168:CST262169 CST262188 CST262193 CST327678:CST327686 CST327704:CST327705 CST327724 CST327729 CST393214:CST393222 CST393240:CST393241 CST393260 CST393265 CST458750:CST458758 CST458776:CST458777 CST458796 CST458801 CST524286:CST524294 CST524312:CST524313 CST524332 CST524337 CST589822:CST589830 CST589848:CST589849 CST589868 CST589873 CST655358:CST655366 CST655384:CST655385 CST655404 CST655409 CST720894:CST720902 CST720920:CST720921 CST720940 CST720945 CST786430:CST786438 CST786456:CST786457 CST786476 CST786481 CST851966:CST851974 CST851992:CST851993 CST852012 CST852017 CST917502:CST917510 CST917528:CST917529 CST917548 CST917553 CST983038:CST983046 CST983064:CST983065 CST983084 CST983089 CTE65519:CTE65529 CTE131055:CTE131065 CTE196591:CTE196601 CTE262127:CTE262137 CTE327663:CTE327673 CTE393199:CTE393209 CTE458735:CTE458745 CTE524271:CTE524281 CTE589807:CTE589817 CTE655343:CTE655353 CTE720879:CTE720889 CTE786415:CTE786425 CTE851951:CTE851961 CTE917487:CTE917497 CTE983023:CTE983033 DCP15:DCP23 DCP39:DCP44 DCP53:DCP54 DCP65534:DCP65542 DCP65560:DCP65561 DCP65580 DCP65585 DCP131070:DCP131078 DCP131096:DCP131097 DCP131116 DCP131121 DCP196606:DCP196614 DCP196632:DCP196633 DCP196652 DCP196657 DCP262142:DCP262150 DCP262168:DCP262169 DCP262188 DCP262193 DCP327678:DCP327686 DCP327704:DCP327705 DCP327724 DCP327729 DCP393214:DCP393222 DCP393240:DCP393241 DCP393260 DCP393265 DCP458750:DCP458758 DCP458776:DCP458777 DCP458796 DCP458801 DCP524286:DCP524294 DCP524312:DCP524313 DCP524332 DCP524337 DCP589822:DCP589830 DCP589848:DCP589849 DCP589868 DCP589873 DCP655358:DCP655366 DCP655384:DCP655385 DCP655404 DCP655409 DCP720894:DCP720902 DCP720920:DCP720921 DCP720940 DCP720945 DCP786430:DCP786438 DCP786456:DCP786457 DCP786476 DCP786481 DCP851966:DCP851974 DCP851992:DCP851993 DCP852012 DCP852017 DCP917502:DCP917510 DCP917528:DCP917529 DCP917548 DCP917553 DCP983038:DCP983046 DCP983064:DCP983065 DCP983084 DCP983089 DDA65519:DDA65529 DDA131055:DDA131065 DDA196591:DDA196601 DDA262127:DDA262137 DDA327663:DDA327673 DDA393199:DDA393209 DDA458735:DDA458745 DDA524271:DDA524281 DDA589807:DDA589817 DDA655343:DDA655353 DDA720879:DDA720889 DDA786415:DDA786425 DDA851951:DDA851961 DDA917487:DDA917497 DDA983023:DDA983033 DML15:DML23 DML39:DML44 DML53:DML54 DML65534:DML65542 DML65560:DML65561 DML65580 DML65585 DML131070:DML131078 DML131096:DML131097 DML131116 DML131121 DML196606:DML196614 DML196632:DML196633 DML196652 DML196657 DML262142:DML262150 DML262168:DML262169 DML262188 DML262193 DML327678:DML327686 DML327704:DML327705 DML327724 DML327729 DML393214:DML393222 DML393240:DML393241 DML393260 DML393265 DML458750:DML458758 DML458776:DML458777 DML458796 DML458801 DML524286:DML524294 DML524312:DML524313 DML524332 DML524337 DML589822:DML589830 DML589848:DML589849 DML589868 DML589873 DML655358:DML655366 DML655384:DML655385 DML655404 DML655409 DML720894:DML720902 DML720920:DML720921 DML720940 DML720945 DML786430:DML786438 DML786456:DML786457 DML786476 DML786481 DML851966:DML851974 DML851992:DML851993 DML852012 DML852017 DML917502:DML917510 DML917528:DML917529 DML917548 DML917553 DML983038:DML983046 DML983064:DML983065 DML983084 DML983089 DMW65519:DMW65529 DMW131055:DMW131065 DMW196591:DMW196601 DMW262127:DMW262137 DMW327663:DMW327673 DMW393199:DMW393209 DMW458735:DMW458745 DMW524271:DMW524281 DMW589807:DMW589817 DMW655343:DMW655353 DMW720879:DMW720889 DMW786415:DMW786425 DMW851951:DMW851961 DMW917487:DMW917497 DMW983023:DMW983033 DWH15:DWH23 DWH39:DWH44 DWH53:DWH54 DWH65534:DWH65542 DWH65560:DWH65561 DWH65580 DWH65585 DWH131070:DWH131078 DWH131096:DWH131097 DWH131116 DWH131121 DWH196606:DWH196614 DWH196632:DWH196633 DWH196652 DWH196657 DWH262142:DWH262150 DWH262168:DWH262169 DWH262188 DWH262193 DWH327678:DWH327686 DWH327704:DWH327705 DWH327724 DWH327729 DWH393214:DWH393222 DWH393240:DWH393241 DWH393260 DWH393265 DWH458750:DWH458758 DWH458776:DWH458777 DWH458796 DWH458801 DWH524286:DWH524294 DWH524312:DWH524313 DWH524332 DWH524337 DWH589822:DWH589830 DWH589848:DWH589849 DWH589868 DWH589873 DWH655358:DWH655366 DWH655384:DWH655385 DWH655404 DWH655409 DWH720894:DWH720902 DWH720920:DWH720921 DWH720940 DWH720945 DWH786430:DWH786438 DWH786456:DWH786457 DWH786476 DWH786481 DWH851966:DWH851974 DWH851992:DWH851993 DWH852012 DWH852017 DWH917502:DWH917510 DWH917528:DWH917529 DWH917548 DWH917553 DWH983038:DWH983046 DWH983064:DWH983065 DWH983084 DWH983089 DWS65519:DWS65529 DWS131055:DWS131065 DWS196591:DWS196601 DWS262127:DWS262137 DWS327663:DWS327673 DWS393199:DWS393209 DWS458735:DWS458745 DWS524271:DWS524281 DWS589807:DWS589817 DWS655343:DWS655353 DWS720879:DWS720889 DWS786415:DWS786425 DWS851951:DWS851961 DWS917487:DWS917497 DWS983023:DWS983033 EGD15:EGD23 EGD39:EGD44 EGD53:EGD54 EGD65534:EGD65542 EGD65560:EGD65561 EGD65580 EGD65585 EGD131070:EGD131078 EGD131096:EGD131097 EGD131116 EGD131121 EGD196606:EGD196614 EGD196632:EGD196633 EGD196652 EGD196657 EGD262142:EGD262150 EGD262168:EGD262169 EGD262188 EGD262193 EGD327678:EGD327686 EGD327704:EGD327705 EGD327724 EGD327729 EGD393214:EGD393222 EGD393240:EGD393241 EGD393260 EGD393265 EGD458750:EGD458758 EGD458776:EGD458777 EGD458796 EGD458801 EGD524286:EGD524294 EGD524312:EGD524313 EGD524332 EGD524337 EGD589822:EGD589830 EGD589848:EGD589849 EGD589868 EGD589873 EGD655358:EGD655366 EGD655384:EGD655385 EGD655404 EGD655409 EGD720894:EGD720902 EGD720920:EGD720921 EGD720940 EGD720945 EGD786430:EGD786438 EGD786456:EGD786457 EGD786476 EGD786481 EGD851966:EGD851974 EGD851992:EGD851993 EGD852012 EGD852017 EGD917502:EGD917510 EGD917528:EGD917529 EGD917548 EGD917553 EGD983038:EGD983046 EGD983064:EGD983065 EGD983084 EGD983089 EGO65519:EGO65529 EGO131055:EGO131065 EGO196591:EGO196601 EGO262127:EGO262137 EGO327663:EGO327673 EGO393199:EGO393209 EGO458735:EGO458745 EGO524271:EGO524281 EGO589807:EGO589817 EGO655343:EGO655353 EGO720879:EGO720889 EGO786415:EGO786425 EGO851951:EGO851961 EGO917487:EGO917497 EGO983023:EGO983033 EPZ15:EPZ23 EPZ39:EPZ44 EPZ53:EPZ54 EPZ65534:EPZ65542 EPZ65560:EPZ65561 EPZ65580 EPZ65585 EPZ131070:EPZ131078 EPZ131096:EPZ131097 EPZ131116 EPZ131121 EPZ196606:EPZ196614 EPZ196632:EPZ196633 EPZ196652 EPZ196657 EPZ262142:EPZ262150 EPZ262168:EPZ262169 EPZ262188 EPZ262193 EPZ327678:EPZ327686 EPZ327704:EPZ327705 EPZ327724 EPZ327729 EPZ393214:EPZ393222 EPZ393240:EPZ393241 EPZ393260 EPZ393265 EPZ458750:EPZ458758 EPZ458776:EPZ458777 EPZ458796 EPZ458801 EPZ524286:EPZ524294 EPZ524312:EPZ524313 EPZ524332 EPZ524337 EPZ589822:EPZ589830 EPZ589848:EPZ589849 EPZ589868 EPZ589873 EPZ655358:EPZ655366 EPZ655384:EPZ655385 EPZ655404 EPZ655409 EPZ720894:EPZ720902 EPZ720920:EPZ720921 EPZ720940 EPZ720945 EPZ786430:EPZ786438 EPZ786456:EPZ786457 EPZ786476 EPZ786481 EPZ851966:EPZ851974 EPZ851992:EPZ851993 EPZ852012 EPZ852017 EPZ917502:EPZ917510 EPZ917528:EPZ917529 EPZ917548 EPZ917553 EPZ983038:EPZ983046 EPZ983064:EPZ983065 EPZ983084 EPZ983089 EQK65519:EQK65529 EQK131055:EQK131065 EQK196591:EQK196601 EQK262127:EQK262137 EQK327663:EQK327673 EQK393199:EQK393209 EQK458735:EQK458745 EQK524271:EQK524281 EQK589807:EQK589817 EQK655343:EQK655353 EQK720879:EQK720889 EQK786415:EQK786425 EQK851951:EQK851961 EQK917487:EQK917497 EQK983023:EQK983033 EZV15:EZV23 EZV39:EZV44 EZV53:EZV54 EZV65534:EZV65542 EZV65560:EZV65561 EZV65580 EZV65585 EZV131070:EZV131078 EZV131096:EZV131097 EZV131116 EZV131121 EZV196606:EZV196614 EZV196632:EZV196633 EZV196652 EZV196657 EZV262142:EZV262150 EZV262168:EZV262169 EZV262188 EZV262193 EZV327678:EZV327686 EZV327704:EZV327705 EZV327724 EZV327729 EZV393214:EZV393222 EZV393240:EZV393241 EZV393260 EZV393265 EZV458750:EZV458758 EZV458776:EZV458777 EZV458796 EZV458801 EZV524286:EZV524294 EZV524312:EZV524313 EZV524332 EZV524337 EZV589822:EZV589830 EZV589848:EZV589849 EZV589868 EZV589873 EZV655358:EZV655366 EZV655384:EZV655385 EZV655404 EZV655409 EZV720894:EZV720902 EZV720920:EZV720921 EZV720940 EZV720945 EZV786430:EZV786438 EZV786456:EZV786457 EZV786476 EZV786481 EZV851966:EZV851974 EZV851992:EZV851993 EZV852012 EZV852017 EZV917502:EZV917510 EZV917528:EZV917529 EZV917548 EZV917553 EZV983038:EZV983046 EZV983064:EZV983065 EZV983084 EZV983089 FAG65519:FAG65529 FAG131055:FAG131065 FAG196591:FAG196601 FAG262127:FAG262137 FAG327663:FAG327673 FAG393199:FAG393209 FAG458735:FAG458745 FAG524271:FAG524281 FAG589807:FAG589817 FAG655343:FAG655353 FAG720879:FAG720889 FAG786415:FAG786425 FAG851951:FAG851961 FAG917487:FAG917497 FAG983023:FAG983033 FJR15:FJR23 FJR39:FJR44 FJR53:FJR54 FJR65534:FJR65542 FJR65560:FJR65561 FJR65580 FJR65585 FJR131070:FJR131078 FJR131096:FJR131097 FJR131116 FJR131121 FJR196606:FJR196614 FJR196632:FJR196633 FJR196652 FJR196657 FJR262142:FJR262150 FJR262168:FJR262169 FJR262188 FJR262193 FJR327678:FJR327686 FJR327704:FJR327705 FJR327724 FJR327729 FJR393214:FJR393222 FJR393240:FJR393241 FJR393260 FJR393265 FJR458750:FJR458758 FJR458776:FJR458777 FJR458796 FJR458801 FJR524286:FJR524294 FJR524312:FJR524313 FJR524332 FJR524337 FJR589822:FJR589830 FJR589848:FJR589849 FJR589868 FJR589873 FJR655358:FJR655366 FJR655384:FJR655385 FJR655404 FJR655409 FJR720894:FJR720902 FJR720920:FJR720921 FJR720940 FJR720945 FJR786430:FJR786438 FJR786456:FJR786457 FJR786476 FJR786481 FJR851966:FJR851974 FJR851992:FJR851993 FJR852012 FJR852017 FJR917502:FJR917510 FJR917528:FJR917529 FJR917548 FJR917553 FJR983038:FJR983046 FJR983064:FJR983065 FJR983084 FJR983089 FKC65519:FKC65529 FKC131055:FKC131065 FKC196591:FKC196601 FKC262127:FKC262137 FKC327663:FKC327673 FKC393199:FKC393209 FKC458735:FKC458745 FKC524271:FKC524281 FKC589807:FKC589817 FKC655343:FKC655353 FKC720879:FKC720889 FKC786415:FKC786425 FKC851951:FKC851961 FKC917487:FKC917497 FKC983023:FKC983033 FTN15:FTN23 FTN39:FTN44 FTN53:FTN54 FTN65534:FTN65542 FTN65560:FTN65561 FTN65580 FTN65585 FTN131070:FTN131078 FTN131096:FTN131097 FTN131116 FTN131121 FTN196606:FTN196614 FTN196632:FTN196633 FTN196652 FTN196657 FTN262142:FTN262150 FTN262168:FTN262169 FTN262188 FTN262193 FTN327678:FTN327686 FTN327704:FTN327705 FTN327724 FTN327729 FTN393214:FTN393222 FTN393240:FTN393241 FTN393260 FTN393265 FTN458750:FTN458758 FTN458776:FTN458777 FTN458796 FTN458801 FTN524286:FTN524294 FTN524312:FTN524313 FTN524332 FTN524337 FTN589822:FTN589830 FTN589848:FTN589849 FTN589868 FTN589873 FTN655358:FTN655366 FTN655384:FTN655385 FTN655404 FTN655409 FTN720894:FTN720902 FTN720920:FTN720921 FTN720940 FTN720945 FTN786430:FTN786438 FTN786456:FTN786457 FTN786476 FTN786481 FTN851966:FTN851974 FTN851992:FTN851993 FTN852012 FTN852017 FTN917502:FTN917510 FTN917528:FTN917529 FTN917548 FTN917553 FTN983038:FTN983046 FTN983064:FTN983065 FTN983084 FTN983089 FTY65519:FTY65529 FTY131055:FTY131065 FTY196591:FTY196601 FTY262127:FTY262137 FTY327663:FTY327673 FTY393199:FTY393209 FTY458735:FTY458745 FTY524271:FTY524281 FTY589807:FTY589817 FTY655343:FTY655353 FTY720879:FTY720889 FTY786415:FTY786425 FTY851951:FTY851961 FTY917487:FTY917497 FTY983023:FTY983033 GDJ15:GDJ23 GDJ39:GDJ44 GDJ53:GDJ54 GDJ65534:GDJ65542 GDJ65560:GDJ65561 GDJ65580 GDJ65585 GDJ131070:GDJ131078 GDJ131096:GDJ131097 GDJ131116 GDJ131121 GDJ196606:GDJ196614 GDJ196632:GDJ196633 GDJ196652 GDJ196657 GDJ262142:GDJ262150 GDJ262168:GDJ262169 GDJ262188 GDJ262193 GDJ327678:GDJ327686 GDJ327704:GDJ327705 GDJ327724 GDJ327729 GDJ393214:GDJ393222 GDJ393240:GDJ393241 GDJ393260 GDJ393265 GDJ458750:GDJ458758 GDJ458776:GDJ458777 GDJ458796 GDJ458801 GDJ524286:GDJ524294 GDJ524312:GDJ524313 GDJ524332 GDJ524337 GDJ589822:GDJ589830 GDJ589848:GDJ589849 GDJ589868 GDJ589873 GDJ655358:GDJ655366 GDJ655384:GDJ655385 GDJ655404 GDJ655409 GDJ720894:GDJ720902 GDJ720920:GDJ720921 GDJ720940 GDJ720945 GDJ786430:GDJ786438 GDJ786456:GDJ786457 GDJ786476 GDJ786481 GDJ851966:GDJ851974 GDJ851992:GDJ851993 GDJ852012 GDJ852017 GDJ917502:GDJ917510 GDJ917528:GDJ917529 GDJ917548 GDJ917553 GDJ983038:GDJ983046 GDJ983064:GDJ983065 GDJ983084 GDJ983089 GDU65519:GDU65529 GDU131055:GDU131065 GDU196591:GDU196601 GDU262127:GDU262137 GDU327663:GDU327673 GDU393199:GDU393209 GDU458735:GDU458745 GDU524271:GDU524281 GDU589807:GDU589817 GDU655343:GDU655353 GDU720879:GDU720889 GDU786415:GDU786425 GDU851951:GDU851961 GDU917487:GDU917497 GDU983023:GDU983033 GNF15:GNF23 GNF39:GNF44 GNF53:GNF54 GNF65534:GNF65542 GNF65560:GNF65561 GNF65580 GNF65585 GNF131070:GNF131078 GNF131096:GNF131097 GNF131116 GNF131121 GNF196606:GNF196614 GNF196632:GNF196633 GNF196652 GNF196657 GNF262142:GNF262150 GNF262168:GNF262169 GNF262188 GNF262193 GNF327678:GNF327686 GNF327704:GNF327705 GNF327724 GNF327729 GNF393214:GNF393222 GNF393240:GNF393241 GNF393260 GNF393265 GNF458750:GNF458758 GNF458776:GNF458777 GNF458796 GNF458801 GNF524286:GNF524294 GNF524312:GNF524313 GNF524332 GNF524337 GNF589822:GNF589830 GNF589848:GNF589849 GNF589868 GNF589873 GNF655358:GNF655366 GNF655384:GNF655385 GNF655404 GNF655409 GNF720894:GNF720902 GNF720920:GNF720921 GNF720940 GNF720945 GNF786430:GNF786438 GNF786456:GNF786457 GNF786476 GNF786481 GNF851966:GNF851974 GNF851992:GNF851993 GNF852012 GNF852017 GNF917502:GNF917510 GNF917528:GNF917529 GNF917548 GNF917553 GNF983038:GNF983046 GNF983064:GNF983065 GNF983084 GNF983089 GNQ65519:GNQ65529 GNQ131055:GNQ131065 GNQ196591:GNQ196601 GNQ262127:GNQ262137 GNQ327663:GNQ327673 GNQ393199:GNQ393209 GNQ458735:GNQ458745 GNQ524271:GNQ524281 GNQ589807:GNQ589817 GNQ655343:GNQ655353 GNQ720879:GNQ720889 GNQ786415:GNQ786425 GNQ851951:GNQ851961 GNQ917487:GNQ917497 GNQ983023:GNQ983033 GXB15:GXB23 GXB39:GXB44 GXB53:GXB54 GXB65534:GXB65542 GXB65560:GXB65561 GXB65580 GXB65585 GXB131070:GXB131078 GXB131096:GXB131097 GXB131116 GXB131121 GXB196606:GXB196614 GXB196632:GXB196633 GXB196652 GXB196657 GXB262142:GXB262150 GXB262168:GXB262169 GXB262188 GXB262193 GXB327678:GXB327686 GXB327704:GXB327705 GXB327724 GXB327729 GXB393214:GXB393222 GXB393240:GXB393241 GXB393260 GXB393265 GXB458750:GXB458758 GXB458776:GXB458777 GXB458796 GXB458801 GXB524286:GXB524294 GXB524312:GXB524313 GXB524332 GXB524337 GXB589822:GXB589830 GXB589848:GXB589849 GXB589868 GXB589873 GXB655358:GXB655366 GXB655384:GXB655385 GXB655404 GXB655409 GXB720894:GXB720902 GXB720920:GXB720921 GXB720940 GXB720945 GXB786430:GXB786438 GXB786456:GXB786457 GXB786476 GXB786481 GXB851966:GXB851974 GXB851992:GXB851993 GXB852012 GXB852017 GXB917502:GXB917510 GXB917528:GXB917529 GXB917548 GXB917553 GXB983038:GXB983046 GXB983064:GXB983065 GXB983084 GXB983089 GXM65519:GXM65529 GXM131055:GXM131065 GXM196591:GXM196601 GXM262127:GXM262137 GXM327663:GXM327673 GXM393199:GXM393209 GXM458735:GXM458745 GXM524271:GXM524281 GXM589807:GXM589817 GXM655343:GXM655353 GXM720879:GXM720889 GXM786415:GXM786425 GXM851951:GXM851961 GXM917487:GXM917497 GXM983023:GXM983033 HGX15:HGX23 HGX39:HGX44 HGX53:HGX54 HGX65534:HGX65542 HGX65560:HGX65561 HGX65580 HGX65585 HGX131070:HGX131078 HGX131096:HGX131097 HGX131116 HGX131121 HGX196606:HGX196614 HGX196632:HGX196633 HGX196652 HGX196657 HGX262142:HGX262150 HGX262168:HGX262169 HGX262188 HGX262193 HGX327678:HGX327686 HGX327704:HGX327705 HGX327724 HGX327729 HGX393214:HGX393222 HGX393240:HGX393241 HGX393260 HGX393265 HGX458750:HGX458758 HGX458776:HGX458777 HGX458796 HGX458801 HGX524286:HGX524294 HGX524312:HGX524313 HGX524332 HGX524337 HGX589822:HGX589830 HGX589848:HGX589849 HGX589868 HGX589873 HGX655358:HGX655366 HGX655384:HGX655385 HGX655404 HGX655409 HGX720894:HGX720902 HGX720920:HGX720921 HGX720940 HGX720945 HGX786430:HGX786438 HGX786456:HGX786457 HGX786476 HGX786481 HGX851966:HGX851974 HGX851992:HGX851993 HGX852012 HGX852017 HGX917502:HGX917510 HGX917528:HGX917529 HGX917548 HGX917553 HGX983038:HGX983046 HGX983064:HGX983065 HGX983084 HGX983089 HHI65519:HHI65529 HHI131055:HHI131065 HHI196591:HHI196601 HHI262127:HHI262137 HHI327663:HHI327673 HHI393199:HHI393209 HHI458735:HHI458745 HHI524271:HHI524281 HHI589807:HHI589817 HHI655343:HHI655353 HHI720879:HHI720889 HHI786415:HHI786425 HHI851951:HHI851961 HHI917487:HHI917497 HHI983023:HHI983033 HQT15:HQT23 HQT39:HQT44 HQT53:HQT54 HQT65534:HQT65542 HQT65560:HQT65561 HQT65580 HQT65585 HQT131070:HQT131078 HQT131096:HQT131097 HQT131116 HQT131121 HQT196606:HQT196614 HQT196632:HQT196633 HQT196652 HQT196657 HQT262142:HQT262150 HQT262168:HQT262169 HQT262188 HQT262193 HQT327678:HQT327686 HQT327704:HQT327705 HQT327724 HQT327729 HQT393214:HQT393222 HQT393240:HQT393241 HQT393260 HQT393265 HQT458750:HQT458758 HQT458776:HQT458777 HQT458796 HQT458801 HQT524286:HQT524294 HQT524312:HQT524313 HQT524332 HQT524337 HQT589822:HQT589830 HQT589848:HQT589849 HQT589868 HQT589873 HQT655358:HQT655366 HQT655384:HQT655385 HQT655404 HQT655409 HQT720894:HQT720902 HQT720920:HQT720921 HQT720940 HQT720945 HQT786430:HQT786438 HQT786456:HQT786457 HQT786476 HQT786481 HQT851966:HQT851974 HQT851992:HQT851993 HQT852012 HQT852017 HQT917502:HQT917510 HQT917528:HQT917529 HQT917548 HQT917553 HQT983038:HQT983046 HQT983064:HQT983065 HQT983084 HQT983089 HRE65519:HRE65529 HRE131055:HRE131065 HRE196591:HRE196601 HRE262127:HRE262137 HRE327663:HRE327673 HRE393199:HRE393209 HRE458735:HRE458745 HRE524271:HRE524281 HRE589807:HRE589817 HRE655343:HRE655353 HRE720879:HRE720889 HRE786415:HRE786425 HRE851951:HRE851961 HRE917487:HRE917497 HRE983023:HRE983033 IAP15:IAP23 IAP39:IAP44 IAP53:IAP54 IAP65534:IAP65542 IAP65560:IAP65561 IAP65580 IAP65585 IAP131070:IAP131078 IAP131096:IAP131097 IAP131116 IAP131121 IAP196606:IAP196614 IAP196632:IAP196633 IAP196652 IAP196657 IAP262142:IAP262150 IAP262168:IAP262169 IAP262188 IAP262193 IAP327678:IAP327686 IAP327704:IAP327705 IAP327724 IAP327729 IAP393214:IAP393222 IAP393240:IAP393241 IAP393260 IAP393265 IAP458750:IAP458758 IAP458776:IAP458777 IAP458796 IAP458801 IAP524286:IAP524294 IAP524312:IAP524313 IAP524332 IAP524337 IAP589822:IAP589830 IAP589848:IAP589849 IAP589868 IAP589873 IAP655358:IAP655366 IAP655384:IAP655385 IAP655404 IAP655409 IAP720894:IAP720902 IAP720920:IAP720921 IAP720940 IAP720945 IAP786430:IAP786438 IAP786456:IAP786457 IAP786476 IAP786481 IAP851966:IAP851974 IAP851992:IAP851993 IAP852012 IAP852017 IAP917502:IAP917510 IAP917528:IAP917529 IAP917548 IAP917553 IAP983038:IAP983046 IAP983064:IAP983065 IAP983084 IAP983089 IBA65519:IBA65529 IBA131055:IBA131065 IBA196591:IBA196601 IBA262127:IBA262137 IBA327663:IBA327673 IBA393199:IBA393209 IBA458735:IBA458745 IBA524271:IBA524281 IBA589807:IBA589817 IBA655343:IBA655353 IBA720879:IBA720889 IBA786415:IBA786425 IBA851951:IBA851961 IBA917487:IBA917497 IBA983023:IBA983033 IKL15:IKL23 IKL39:IKL44 IKL53:IKL54 IKL65534:IKL65542 IKL65560:IKL65561 IKL65580 IKL65585 IKL131070:IKL131078 IKL131096:IKL131097 IKL131116 IKL131121 IKL196606:IKL196614 IKL196632:IKL196633 IKL196652 IKL196657 IKL262142:IKL262150 IKL262168:IKL262169 IKL262188 IKL262193 IKL327678:IKL327686 IKL327704:IKL327705 IKL327724 IKL327729 IKL393214:IKL393222 IKL393240:IKL393241 IKL393260 IKL393265 IKL458750:IKL458758 IKL458776:IKL458777 IKL458796 IKL458801 IKL524286:IKL524294 IKL524312:IKL524313 IKL524332 IKL524337 IKL589822:IKL589830 IKL589848:IKL589849 IKL589868 IKL589873 IKL655358:IKL655366 IKL655384:IKL655385 IKL655404 IKL655409 IKL720894:IKL720902 IKL720920:IKL720921 IKL720940 IKL720945 IKL786430:IKL786438 IKL786456:IKL786457 IKL786476 IKL786481 IKL851966:IKL851974 IKL851992:IKL851993 IKL852012 IKL852017 IKL917502:IKL917510 IKL917528:IKL917529 IKL917548 IKL917553 IKL983038:IKL983046 IKL983064:IKL983065 IKL983084 IKL983089 IKW65519:IKW65529 IKW131055:IKW131065 IKW196591:IKW196601 IKW262127:IKW262137 IKW327663:IKW327673 IKW393199:IKW393209 IKW458735:IKW458745 IKW524271:IKW524281 IKW589807:IKW589817 IKW655343:IKW655353 IKW720879:IKW720889 IKW786415:IKW786425 IKW851951:IKW851961 IKW917487:IKW917497 IKW983023:IKW983033 IUH15:IUH23 IUH39:IUH44 IUH53:IUH54 IUH65534:IUH65542 IUH65560:IUH65561 IUH65580 IUH65585 IUH131070:IUH131078 IUH131096:IUH131097 IUH131116 IUH131121 IUH196606:IUH196614 IUH196632:IUH196633 IUH196652 IUH196657 IUH262142:IUH262150 IUH262168:IUH262169 IUH262188 IUH262193 IUH327678:IUH327686 IUH327704:IUH327705 IUH327724 IUH327729 IUH393214:IUH393222 IUH393240:IUH393241 IUH393260 IUH393265 IUH458750:IUH458758 IUH458776:IUH458777 IUH458796 IUH458801 IUH524286:IUH524294 IUH524312:IUH524313 IUH524332 IUH524337 IUH589822:IUH589830 IUH589848:IUH589849 IUH589868 IUH589873 IUH655358:IUH655366 IUH655384:IUH655385 IUH655404 IUH655409 IUH720894:IUH720902 IUH720920:IUH720921 IUH720940 IUH720945 IUH786430:IUH786438 IUH786456:IUH786457 IUH786476 IUH786481 IUH851966:IUH851974 IUH851992:IUH851993 IUH852012 IUH852017 IUH917502:IUH917510 IUH917528:IUH917529 IUH917548 IUH917553 IUH983038:IUH983046 IUH983064:IUH983065 IUH983084 IUH983089 IUS65519:IUS65529 IUS131055:IUS131065 IUS196591:IUS196601 IUS262127:IUS262137 IUS327663:IUS327673 IUS393199:IUS393209 IUS458735:IUS458745 IUS524271:IUS524281 IUS589807:IUS589817 IUS655343:IUS655353 IUS720879:IUS720889 IUS786415:IUS786425 IUS851951:IUS851961 IUS917487:IUS917497 IUS983023:IUS983033 JED15:JED23 JED39:JED44 JED53:JED54 JED65534:JED65542 JED65560:JED65561 JED65580 JED65585 JED131070:JED131078 JED131096:JED131097 JED131116 JED131121 JED196606:JED196614 JED196632:JED196633 JED196652 JED196657 JED262142:JED262150 JED262168:JED262169 JED262188 JED262193 JED327678:JED327686 JED327704:JED327705 JED327724 JED327729 JED393214:JED393222 JED393240:JED393241 JED393260 JED393265 JED458750:JED458758 JED458776:JED458777 JED458796 JED458801 JED524286:JED524294 JED524312:JED524313 JED524332 JED524337 JED589822:JED589830 JED589848:JED589849 JED589868 JED589873 JED655358:JED655366 JED655384:JED655385 JED655404 JED655409 JED720894:JED720902 JED720920:JED720921 JED720940 JED720945 JED786430:JED786438 JED786456:JED786457 JED786476 JED786481 JED851966:JED851974 JED851992:JED851993 JED852012 JED852017 JED917502:JED917510 JED917528:JED917529 JED917548 JED917553 JED983038:JED983046 JED983064:JED983065 JED983084 JED983089 JEO65519:JEO65529 JEO131055:JEO131065 JEO196591:JEO196601 JEO262127:JEO262137 JEO327663:JEO327673 JEO393199:JEO393209 JEO458735:JEO458745 JEO524271:JEO524281 JEO589807:JEO589817 JEO655343:JEO655353 JEO720879:JEO720889 JEO786415:JEO786425 JEO851951:JEO851961 JEO917487:JEO917497 JEO983023:JEO983033 JNZ15:JNZ23 JNZ39:JNZ44 JNZ53:JNZ54 JNZ65534:JNZ65542 JNZ65560:JNZ65561 JNZ65580 JNZ65585 JNZ131070:JNZ131078 JNZ131096:JNZ131097 JNZ131116 JNZ131121 JNZ196606:JNZ196614 JNZ196632:JNZ196633 JNZ196652 JNZ196657 JNZ262142:JNZ262150 JNZ262168:JNZ262169 JNZ262188 JNZ262193 JNZ327678:JNZ327686 JNZ327704:JNZ327705 JNZ327724 JNZ327729 JNZ393214:JNZ393222 JNZ393240:JNZ393241 JNZ393260 JNZ393265 JNZ458750:JNZ458758 JNZ458776:JNZ458777 JNZ458796 JNZ458801 JNZ524286:JNZ524294 JNZ524312:JNZ524313 JNZ524332 JNZ524337 JNZ589822:JNZ589830 JNZ589848:JNZ589849 JNZ589868 JNZ589873 JNZ655358:JNZ655366 JNZ655384:JNZ655385 JNZ655404 JNZ655409 JNZ720894:JNZ720902 JNZ720920:JNZ720921 JNZ720940 JNZ720945 JNZ786430:JNZ786438 JNZ786456:JNZ786457 JNZ786476 JNZ786481 JNZ851966:JNZ851974 JNZ851992:JNZ851993 JNZ852012 JNZ852017 JNZ917502:JNZ917510 JNZ917528:JNZ917529 JNZ917548 JNZ917553 JNZ983038:JNZ983046 JNZ983064:JNZ983065 JNZ983084 JNZ983089 JOK65519:JOK65529 JOK131055:JOK131065 JOK196591:JOK196601 JOK262127:JOK262137 JOK327663:JOK327673 JOK393199:JOK393209 JOK458735:JOK458745 JOK524271:JOK524281 JOK589807:JOK589817 JOK655343:JOK655353 JOK720879:JOK720889 JOK786415:JOK786425 JOK851951:JOK851961 JOK917487:JOK917497 JOK983023:JOK983033 JXV15:JXV23 JXV39:JXV44 JXV53:JXV54 JXV65534:JXV65542 JXV65560:JXV65561 JXV65580 JXV65585 JXV131070:JXV131078 JXV131096:JXV131097 JXV131116 JXV131121 JXV196606:JXV196614 JXV196632:JXV196633 JXV196652 JXV196657 JXV262142:JXV262150 JXV262168:JXV262169 JXV262188 JXV262193 JXV327678:JXV327686 JXV327704:JXV327705 JXV327724 JXV327729 JXV393214:JXV393222 JXV393240:JXV393241 JXV393260 JXV393265 JXV458750:JXV458758 JXV458776:JXV458777 JXV458796 JXV458801 JXV524286:JXV524294 JXV524312:JXV524313 JXV524332 JXV524337 JXV589822:JXV589830 JXV589848:JXV589849 JXV589868 JXV589873 JXV655358:JXV655366 JXV655384:JXV655385 JXV655404 JXV655409 JXV720894:JXV720902 JXV720920:JXV720921 JXV720940 JXV720945 JXV786430:JXV786438 JXV786456:JXV786457 JXV786476 JXV786481 JXV851966:JXV851974 JXV851992:JXV851993 JXV852012 JXV852017 JXV917502:JXV917510 JXV917528:JXV917529 JXV917548 JXV917553 JXV983038:JXV983046 JXV983064:JXV983065 JXV983084 JXV983089 JYG65519:JYG65529 JYG131055:JYG131065 JYG196591:JYG196601 JYG262127:JYG262137 JYG327663:JYG327673 JYG393199:JYG393209 JYG458735:JYG458745 JYG524271:JYG524281 JYG589807:JYG589817 JYG655343:JYG655353 JYG720879:JYG720889 JYG786415:JYG786425 JYG851951:JYG851961 JYG917487:JYG917497 JYG983023:JYG983033 KHR15:KHR23 KHR39:KHR44 KHR53:KHR54 KHR65534:KHR65542 KHR65560:KHR65561 KHR65580 KHR65585 KHR131070:KHR131078 KHR131096:KHR131097 KHR131116 KHR131121 KHR196606:KHR196614 KHR196632:KHR196633 KHR196652 KHR196657 KHR262142:KHR262150 KHR262168:KHR262169 KHR262188 KHR262193 KHR327678:KHR327686 KHR327704:KHR327705 KHR327724 KHR327729 KHR393214:KHR393222 KHR393240:KHR393241 KHR393260 KHR393265 KHR458750:KHR458758 KHR458776:KHR458777 KHR458796 KHR458801 KHR524286:KHR524294 KHR524312:KHR524313 KHR524332 KHR524337 KHR589822:KHR589830 KHR589848:KHR589849 KHR589868 KHR589873 KHR655358:KHR655366 KHR655384:KHR655385 KHR655404 KHR655409 KHR720894:KHR720902 KHR720920:KHR720921 KHR720940 KHR720945 KHR786430:KHR786438 KHR786456:KHR786457 KHR786476 KHR786481 KHR851966:KHR851974 KHR851992:KHR851993 KHR852012 KHR852017 KHR917502:KHR917510 KHR917528:KHR917529 KHR917548 KHR917553 KHR983038:KHR983046 KHR983064:KHR983065 KHR983084 KHR983089 KIC65519:KIC65529 KIC131055:KIC131065 KIC196591:KIC196601 KIC262127:KIC262137 KIC327663:KIC327673 KIC393199:KIC393209 KIC458735:KIC458745 KIC524271:KIC524281 KIC589807:KIC589817 KIC655343:KIC655353 KIC720879:KIC720889 KIC786415:KIC786425 KIC851951:KIC851961 KIC917487:KIC917497 KIC983023:KIC983033 KRN15:KRN23 KRN39:KRN44 KRN53:KRN54 KRN65534:KRN65542 KRN65560:KRN65561 KRN65580 KRN65585 KRN131070:KRN131078 KRN131096:KRN131097 KRN131116 KRN131121 KRN196606:KRN196614 KRN196632:KRN196633 KRN196652 KRN196657 KRN262142:KRN262150 KRN262168:KRN262169 KRN262188 KRN262193 KRN327678:KRN327686 KRN327704:KRN327705 KRN327724 KRN327729 KRN393214:KRN393222 KRN393240:KRN393241 KRN393260 KRN393265 KRN458750:KRN458758 KRN458776:KRN458777 KRN458796 KRN458801 KRN524286:KRN524294 KRN524312:KRN524313 KRN524332 KRN524337 KRN589822:KRN589830 KRN589848:KRN589849 KRN589868 KRN589873 KRN655358:KRN655366 KRN655384:KRN655385 KRN655404 KRN655409 KRN720894:KRN720902 KRN720920:KRN720921 KRN720940 KRN720945 KRN786430:KRN786438 KRN786456:KRN786457 KRN786476 KRN786481 KRN851966:KRN851974 KRN851992:KRN851993 KRN852012 KRN852017 KRN917502:KRN917510 KRN917528:KRN917529 KRN917548 KRN917553 KRN983038:KRN983046 KRN983064:KRN983065 KRN983084 KRN983089 KRY65519:KRY65529 KRY131055:KRY131065 KRY196591:KRY196601 KRY262127:KRY262137 KRY327663:KRY327673 KRY393199:KRY393209 KRY458735:KRY458745 KRY524271:KRY524281 KRY589807:KRY589817 KRY655343:KRY655353 KRY720879:KRY720889 KRY786415:KRY786425 KRY851951:KRY851961 KRY917487:KRY917497 KRY983023:KRY983033 LBJ15:LBJ23 LBJ39:LBJ44 LBJ53:LBJ54 LBJ65534:LBJ65542 LBJ65560:LBJ65561 LBJ65580 LBJ65585 LBJ131070:LBJ131078 LBJ131096:LBJ131097 LBJ131116 LBJ131121 LBJ196606:LBJ196614 LBJ196632:LBJ196633 LBJ196652 LBJ196657 LBJ262142:LBJ262150 LBJ262168:LBJ262169 LBJ262188 LBJ262193 LBJ327678:LBJ327686 LBJ327704:LBJ327705 LBJ327724 LBJ327729 LBJ393214:LBJ393222 LBJ393240:LBJ393241 LBJ393260 LBJ393265 LBJ458750:LBJ458758 LBJ458776:LBJ458777 LBJ458796 LBJ458801 LBJ524286:LBJ524294 LBJ524312:LBJ524313 LBJ524332 LBJ524337 LBJ589822:LBJ589830 LBJ589848:LBJ589849 LBJ589868 LBJ589873 LBJ655358:LBJ655366 LBJ655384:LBJ655385 LBJ655404 LBJ655409 LBJ720894:LBJ720902 LBJ720920:LBJ720921 LBJ720940 LBJ720945 LBJ786430:LBJ786438 LBJ786456:LBJ786457 LBJ786476 LBJ786481 LBJ851966:LBJ851974 LBJ851992:LBJ851993 LBJ852012 LBJ852017 LBJ917502:LBJ917510 LBJ917528:LBJ917529 LBJ917548 LBJ917553 LBJ983038:LBJ983046 LBJ983064:LBJ983065 LBJ983084 LBJ983089 LBU65519:LBU65529 LBU131055:LBU131065 LBU196591:LBU196601 LBU262127:LBU262137 LBU327663:LBU327673 LBU393199:LBU393209 LBU458735:LBU458745 LBU524271:LBU524281 LBU589807:LBU589817 LBU655343:LBU655353 LBU720879:LBU720889 LBU786415:LBU786425 LBU851951:LBU851961 LBU917487:LBU917497 LBU983023:LBU983033 LLF15:LLF23 LLF39:LLF44 LLF53:LLF54 LLF65534:LLF65542 LLF65560:LLF65561 LLF65580 LLF65585 LLF131070:LLF131078 LLF131096:LLF131097 LLF131116 LLF131121 LLF196606:LLF196614 LLF196632:LLF196633 LLF196652 LLF196657 LLF262142:LLF262150 LLF262168:LLF262169 LLF262188 LLF262193 LLF327678:LLF327686 LLF327704:LLF327705 LLF327724 LLF327729 LLF393214:LLF393222 LLF393240:LLF393241 LLF393260 LLF393265 LLF458750:LLF458758 LLF458776:LLF458777 LLF458796 LLF458801 LLF524286:LLF524294 LLF524312:LLF524313 LLF524332 LLF524337 LLF589822:LLF589830 LLF589848:LLF589849 LLF589868 LLF589873 LLF655358:LLF655366 LLF655384:LLF655385 LLF655404 LLF655409 LLF720894:LLF720902 LLF720920:LLF720921 LLF720940 LLF720945 LLF786430:LLF786438 LLF786456:LLF786457 LLF786476 LLF786481 LLF851966:LLF851974 LLF851992:LLF851993 LLF852012 LLF852017 LLF917502:LLF917510 LLF917528:LLF917529 LLF917548 LLF917553 LLF983038:LLF983046 LLF983064:LLF983065 LLF983084 LLF983089 LLQ65519:LLQ65529 LLQ131055:LLQ131065 LLQ196591:LLQ196601 LLQ262127:LLQ262137 LLQ327663:LLQ327673 LLQ393199:LLQ393209 LLQ458735:LLQ458745 LLQ524271:LLQ524281 LLQ589807:LLQ589817 LLQ655343:LLQ655353 LLQ720879:LLQ720889 LLQ786415:LLQ786425 LLQ851951:LLQ851961 LLQ917487:LLQ917497 LLQ983023:LLQ983033 LVB15:LVB23 LVB39:LVB44 LVB53:LVB54 LVB65534:LVB65542 LVB65560:LVB65561 LVB65580 LVB65585 LVB131070:LVB131078 LVB131096:LVB131097 LVB131116 LVB131121 LVB196606:LVB196614 LVB196632:LVB196633 LVB196652 LVB196657 LVB262142:LVB262150 LVB262168:LVB262169 LVB262188 LVB262193 LVB327678:LVB327686 LVB327704:LVB327705 LVB327724 LVB327729 LVB393214:LVB393222 LVB393240:LVB393241 LVB393260 LVB393265 LVB458750:LVB458758 LVB458776:LVB458777 LVB458796 LVB458801 LVB524286:LVB524294 LVB524312:LVB524313 LVB524332 LVB524337 LVB589822:LVB589830 LVB589848:LVB589849 LVB589868 LVB589873 LVB655358:LVB655366 LVB655384:LVB655385 LVB655404 LVB655409 LVB720894:LVB720902 LVB720920:LVB720921 LVB720940 LVB720945 LVB786430:LVB786438 LVB786456:LVB786457 LVB786476 LVB786481 LVB851966:LVB851974 LVB851992:LVB851993 LVB852012 LVB852017 LVB917502:LVB917510 LVB917528:LVB917529 LVB917548 LVB917553 LVB983038:LVB983046 LVB983064:LVB983065 LVB983084 LVB983089 LVM65519:LVM65529 LVM131055:LVM131065 LVM196591:LVM196601 LVM262127:LVM262137 LVM327663:LVM327673 LVM393199:LVM393209 LVM458735:LVM458745 LVM524271:LVM524281 LVM589807:LVM589817 LVM655343:LVM655353 LVM720879:LVM720889 LVM786415:LVM786425 LVM851951:LVM851961 LVM917487:LVM917497 LVM983023:LVM983033 MEX15:MEX23 MEX39:MEX44 MEX53:MEX54 MEX65534:MEX65542 MEX65560:MEX65561 MEX65580 MEX65585 MEX131070:MEX131078 MEX131096:MEX131097 MEX131116 MEX131121 MEX196606:MEX196614 MEX196632:MEX196633 MEX196652 MEX196657 MEX262142:MEX262150 MEX262168:MEX262169 MEX262188 MEX262193 MEX327678:MEX327686 MEX327704:MEX327705 MEX327724 MEX327729 MEX393214:MEX393222 MEX393240:MEX393241 MEX393260 MEX393265 MEX458750:MEX458758 MEX458776:MEX458777 MEX458796 MEX458801 MEX524286:MEX524294 MEX524312:MEX524313 MEX524332 MEX524337 MEX589822:MEX589830 MEX589848:MEX589849 MEX589868 MEX589873 MEX655358:MEX655366 MEX655384:MEX655385 MEX655404 MEX655409 MEX720894:MEX720902 MEX720920:MEX720921 MEX720940 MEX720945 MEX786430:MEX786438 MEX786456:MEX786457 MEX786476 MEX786481 MEX851966:MEX851974 MEX851992:MEX851993 MEX852012 MEX852017 MEX917502:MEX917510 MEX917528:MEX917529 MEX917548 MEX917553 MEX983038:MEX983046 MEX983064:MEX983065 MEX983084 MEX983089 MFI65519:MFI65529 MFI131055:MFI131065 MFI196591:MFI196601 MFI262127:MFI262137 MFI327663:MFI327673 MFI393199:MFI393209 MFI458735:MFI458745 MFI524271:MFI524281 MFI589807:MFI589817 MFI655343:MFI655353 MFI720879:MFI720889 MFI786415:MFI786425 MFI851951:MFI851961 MFI917487:MFI917497 MFI983023:MFI983033 MOT15:MOT23 MOT39:MOT44 MOT53:MOT54 MOT65534:MOT65542 MOT65560:MOT65561 MOT65580 MOT65585 MOT131070:MOT131078 MOT131096:MOT131097 MOT131116 MOT131121 MOT196606:MOT196614 MOT196632:MOT196633 MOT196652 MOT196657 MOT262142:MOT262150 MOT262168:MOT262169 MOT262188 MOT262193 MOT327678:MOT327686 MOT327704:MOT327705 MOT327724 MOT327729 MOT393214:MOT393222 MOT393240:MOT393241 MOT393260 MOT393265 MOT458750:MOT458758 MOT458776:MOT458777 MOT458796 MOT458801 MOT524286:MOT524294 MOT524312:MOT524313 MOT524332 MOT524337 MOT589822:MOT589830 MOT589848:MOT589849 MOT589868 MOT589873 MOT655358:MOT655366 MOT655384:MOT655385 MOT655404 MOT655409 MOT720894:MOT720902 MOT720920:MOT720921 MOT720940 MOT720945 MOT786430:MOT786438 MOT786456:MOT786457 MOT786476 MOT786481 MOT851966:MOT851974 MOT851992:MOT851993 MOT852012 MOT852017 MOT917502:MOT917510 MOT917528:MOT917529 MOT917548 MOT917553 MOT983038:MOT983046 MOT983064:MOT983065 MOT983084 MOT983089 MPE65519:MPE65529 MPE131055:MPE131065 MPE196591:MPE196601 MPE262127:MPE262137 MPE327663:MPE327673 MPE393199:MPE393209 MPE458735:MPE458745 MPE524271:MPE524281 MPE589807:MPE589817 MPE655343:MPE655353 MPE720879:MPE720889 MPE786415:MPE786425 MPE851951:MPE851961 MPE917487:MPE917497 MPE983023:MPE983033 MYP15:MYP23 MYP39:MYP44 MYP53:MYP54 MYP65534:MYP65542 MYP65560:MYP65561 MYP65580 MYP65585 MYP131070:MYP131078 MYP131096:MYP131097 MYP131116 MYP131121 MYP196606:MYP196614 MYP196632:MYP196633 MYP196652 MYP196657 MYP262142:MYP262150 MYP262168:MYP262169 MYP262188 MYP262193 MYP327678:MYP327686 MYP327704:MYP327705 MYP327724 MYP327729 MYP393214:MYP393222 MYP393240:MYP393241 MYP393260 MYP393265 MYP458750:MYP458758 MYP458776:MYP458777 MYP458796 MYP458801 MYP524286:MYP524294 MYP524312:MYP524313 MYP524332 MYP524337 MYP589822:MYP589830 MYP589848:MYP589849 MYP589868 MYP589873 MYP655358:MYP655366 MYP655384:MYP655385 MYP655404 MYP655409 MYP720894:MYP720902 MYP720920:MYP720921 MYP720940 MYP720945 MYP786430:MYP786438 MYP786456:MYP786457 MYP786476 MYP786481 MYP851966:MYP851974 MYP851992:MYP851993 MYP852012 MYP852017 MYP917502:MYP917510 MYP917528:MYP917529 MYP917548 MYP917553 MYP983038:MYP983046 MYP983064:MYP983065 MYP983084 MYP983089 MZA65519:MZA65529 MZA131055:MZA131065 MZA196591:MZA196601 MZA262127:MZA262137 MZA327663:MZA327673 MZA393199:MZA393209 MZA458735:MZA458745 MZA524271:MZA524281 MZA589807:MZA589817 MZA655343:MZA655353 MZA720879:MZA720889 MZA786415:MZA786425 MZA851951:MZA851961 MZA917487:MZA917497 MZA983023:MZA983033 NIL15:NIL23 NIL39:NIL44 NIL53:NIL54 NIL65534:NIL65542 NIL65560:NIL65561 NIL65580 NIL65585 NIL131070:NIL131078 NIL131096:NIL131097 NIL131116 NIL131121 NIL196606:NIL196614 NIL196632:NIL196633 NIL196652 NIL196657 NIL262142:NIL262150 NIL262168:NIL262169 NIL262188 NIL262193 NIL327678:NIL327686 NIL327704:NIL327705 NIL327724 NIL327729 NIL393214:NIL393222 NIL393240:NIL393241 NIL393260 NIL393265 NIL458750:NIL458758 NIL458776:NIL458777 NIL458796 NIL458801 NIL524286:NIL524294 NIL524312:NIL524313 NIL524332 NIL524337 NIL589822:NIL589830 NIL589848:NIL589849 NIL589868 NIL589873 NIL655358:NIL655366 NIL655384:NIL655385 NIL655404 NIL655409 NIL720894:NIL720902 NIL720920:NIL720921 NIL720940 NIL720945 NIL786430:NIL786438 NIL786456:NIL786457 NIL786476 NIL786481 NIL851966:NIL851974 NIL851992:NIL851993 NIL852012 NIL852017 NIL917502:NIL917510 NIL917528:NIL917529 NIL917548 NIL917553 NIL983038:NIL983046 NIL983064:NIL983065 NIL983084 NIL983089 NIW65519:NIW65529 NIW131055:NIW131065 NIW196591:NIW196601 NIW262127:NIW262137 NIW327663:NIW327673 NIW393199:NIW393209 NIW458735:NIW458745 NIW524271:NIW524281 NIW589807:NIW589817 NIW655343:NIW655353 NIW720879:NIW720889 NIW786415:NIW786425 NIW851951:NIW851961 NIW917487:NIW917497 NIW983023:NIW983033 NSH15:NSH23 NSH39:NSH44 NSH53:NSH54 NSH65534:NSH65542 NSH65560:NSH65561 NSH65580 NSH65585 NSH131070:NSH131078 NSH131096:NSH131097 NSH131116 NSH131121 NSH196606:NSH196614 NSH196632:NSH196633 NSH196652 NSH196657 NSH262142:NSH262150 NSH262168:NSH262169 NSH262188 NSH262193 NSH327678:NSH327686 NSH327704:NSH327705 NSH327724 NSH327729 NSH393214:NSH393222 NSH393240:NSH393241 NSH393260 NSH393265 NSH458750:NSH458758 NSH458776:NSH458777 NSH458796 NSH458801 NSH524286:NSH524294 NSH524312:NSH524313 NSH524332 NSH524337 NSH589822:NSH589830 NSH589848:NSH589849 NSH589868 NSH589873 NSH655358:NSH655366 NSH655384:NSH655385 NSH655404 NSH655409 NSH720894:NSH720902 NSH720920:NSH720921 NSH720940 NSH720945 NSH786430:NSH786438 NSH786456:NSH786457 NSH786476 NSH786481 NSH851966:NSH851974 NSH851992:NSH851993 NSH852012 NSH852017 NSH917502:NSH917510 NSH917528:NSH917529 NSH917548 NSH917553 NSH983038:NSH983046 NSH983064:NSH983065 NSH983084 NSH983089 NSS65519:NSS65529 NSS131055:NSS131065 NSS196591:NSS196601 NSS262127:NSS262137 NSS327663:NSS327673 NSS393199:NSS393209 NSS458735:NSS458745 NSS524271:NSS524281 NSS589807:NSS589817 NSS655343:NSS655353 NSS720879:NSS720889 NSS786415:NSS786425 NSS851951:NSS851961 NSS917487:NSS917497 NSS983023:NSS983033 OCD15:OCD23 OCD39:OCD44 OCD53:OCD54 OCD65534:OCD65542 OCD65560:OCD65561 OCD65580 OCD65585 OCD131070:OCD131078 OCD131096:OCD131097 OCD131116 OCD131121 OCD196606:OCD196614 OCD196632:OCD196633 OCD196652 OCD196657 OCD262142:OCD262150 OCD262168:OCD262169 OCD262188 OCD262193 OCD327678:OCD327686 OCD327704:OCD327705 OCD327724 OCD327729 OCD393214:OCD393222 OCD393240:OCD393241 OCD393260 OCD393265 OCD458750:OCD458758 OCD458776:OCD458777 OCD458796 OCD458801 OCD524286:OCD524294 OCD524312:OCD524313 OCD524332 OCD524337 OCD589822:OCD589830 OCD589848:OCD589849 OCD589868 OCD589873 OCD655358:OCD655366 OCD655384:OCD655385 OCD655404 OCD655409 OCD720894:OCD720902 OCD720920:OCD720921 OCD720940 OCD720945 OCD786430:OCD786438 OCD786456:OCD786457 OCD786476 OCD786481 OCD851966:OCD851974 OCD851992:OCD851993 OCD852012 OCD852017 OCD917502:OCD917510 OCD917528:OCD917529 OCD917548 OCD917553 OCD983038:OCD983046 OCD983064:OCD983065 OCD983084 OCD983089 OCO65519:OCO65529 OCO131055:OCO131065 OCO196591:OCO196601 OCO262127:OCO262137 OCO327663:OCO327673 OCO393199:OCO393209 OCO458735:OCO458745 OCO524271:OCO524281 OCO589807:OCO589817 OCO655343:OCO655353 OCO720879:OCO720889 OCO786415:OCO786425 OCO851951:OCO851961 OCO917487:OCO917497 OCO983023:OCO983033 OLZ15:OLZ23 OLZ39:OLZ44 OLZ53:OLZ54 OLZ65534:OLZ65542 OLZ65560:OLZ65561 OLZ65580 OLZ65585 OLZ131070:OLZ131078 OLZ131096:OLZ131097 OLZ131116 OLZ131121 OLZ196606:OLZ196614 OLZ196632:OLZ196633 OLZ196652 OLZ196657 OLZ262142:OLZ262150 OLZ262168:OLZ262169 OLZ262188 OLZ262193 OLZ327678:OLZ327686 OLZ327704:OLZ327705 OLZ327724 OLZ327729 OLZ393214:OLZ393222 OLZ393240:OLZ393241 OLZ393260 OLZ393265 OLZ458750:OLZ458758 OLZ458776:OLZ458777 OLZ458796 OLZ458801 OLZ524286:OLZ524294 OLZ524312:OLZ524313 OLZ524332 OLZ524337 OLZ589822:OLZ589830 OLZ589848:OLZ589849 OLZ589868 OLZ589873 OLZ655358:OLZ655366 OLZ655384:OLZ655385 OLZ655404 OLZ655409 OLZ720894:OLZ720902 OLZ720920:OLZ720921 OLZ720940 OLZ720945 OLZ786430:OLZ786438 OLZ786456:OLZ786457 OLZ786476 OLZ786481 OLZ851966:OLZ851974 OLZ851992:OLZ851993 OLZ852012 OLZ852017 OLZ917502:OLZ917510 OLZ917528:OLZ917529 OLZ917548 OLZ917553 OLZ983038:OLZ983046 OLZ983064:OLZ983065 OLZ983084 OLZ983089 OMK65519:OMK65529 OMK131055:OMK131065 OMK196591:OMK196601 OMK262127:OMK262137 OMK327663:OMK327673 OMK393199:OMK393209 OMK458735:OMK458745 OMK524271:OMK524281 OMK589807:OMK589817 OMK655343:OMK655353 OMK720879:OMK720889 OMK786415:OMK786425 OMK851951:OMK851961 OMK917487:OMK917497 OMK983023:OMK983033 OVV15:OVV23 OVV39:OVV44 OVV53:OVV54 OVV65534:OVV65542 OVV65560:OVV65561 OVV65580 OVV65585 OVV131070:OVV131078 OVV131096:OVV131097 OVV131116 OVV131121 OVV196606:OVV196614 OVV196632:OVV196633 OVV196652 OVV196657 OVV262142:OVV262150 OVV262168:OVV262169 OVV262188 OVV262193 OVV327678:OVV327686 OVV327704:OVV327705 OVV327724 OVV327729 OVV393214:OVV393222 OVV393240:OVV393241 OVV393260 OVV393265 OVV458750:OVV458758 OVV458776:OVV458777 OVV458796 OVV458801 OVV524286:OVV524294 OVV524312:OVV524313 OVV524332 OVV524337 OVV589822:OVV589830 OVV589848:OVV589849 OVV589868 OVV589873 OVV655358:OVV655366 OVV655384:OVV655385 OVV655404 OVV655409 OVV720894:OVV720902 OVV720920:OVV720921 OVV720940 OVV720945 OVV786430:OVV786438 OVV786456:OVV786457 OVV786476 OVV786481 OVV851966:OVV851974 OVV851992:OVV851993 OVV852012 OVV852017 OVV917502:OVV917510 OVV917528:OVV917529 OVV917548 OVV917553 OVV983038:OVV983046 OVV983064:OVV983065 OVV983084 OVV983089 OWG65519:OWG65529 OWG131055:OWG131065 OWG196591:OWG196601 OWG262127:OWG262137 OWG327663:OWG327673 OWG393199:OWG393209 OWG458735:OWG458745 OWG524271:OWG524281 OWG589807:OWG589817 OWG655343:OWG655353 OWG720879:OWG720889 OWG786415:OWG786425 OWG851951:OWG851961 OWG917487:OWG917497 OWG983023:OWG983033 PFR15:PFR23 PFR39:PFR44 PFR53:PFR54 PFR65534:PFR65542 PFR65560:PFR65561 PFR65580 PFR65585 PFR131070:PFR131078 PFR131096:PFR131097 PFR131116 PFR131121 PFR196606:PFR196614 PFR196632:PFR196633 PFR196652 PFR196657 PFR262142:PFR262150 PFR262168:PFR262169 PFR262188 PFR262193 PFR327678:PFR327686 PFR327704:PFR327705 PFR327724 PFR327729 PFR393214:PFR393222 PFR393240:PFR393241 PFR393260 PFR393265 PFR458750:PFR458758 PFR458776:PFR458777 PFR458796 PFR458801 PFR524286:PFR524294 PFR524312:PFR524313 PFR524332 PFR524337 PFR589822:PFR589830 PFR589848:PFR589849 PFR589868 PFR589873 PFR655358:PFR655366 PFR655384:PFR655385 PFR655404 PFR655409 PFR720894:PFR720902 PFR720920:PFR720921 PFR720940 PFR720945 PFR786430:PFR786438 PFR786456:PFR786457 PFR786476 PFR786481 PFR851966:PFR851974 PFR851992:PFR851993 PFR852012 PFR852017 PFR917502:PFR917510 PFR917528:PFR917529 PFR917548 PFR917553 PFR983038:PFR983046 PFR983064:PFR983065 PFR983084 PFR983089 PGC65519:PGC65529 PGC131055:PGC131065 PGC196591:PGC196601 PGC262127:PGC262137 PGC327663:PGC327673 PGC393199:PGC393209 PGC458735:PGC458745 PGC524271:PGC524281 PGC589807:PGC589817 PGC655343:PGC655353 PGC720879:PGC720889 PGC786415:PGC786425 PGC851951:PGC851961 PGC917487:PGC917497 PGC983023:PGC983033 PPN15:PPN23 PPN39:PPN44 PPN53:PPN54 PPN65534:PPN65542 PPN65560:PPN65561 PPN65580 PPN65585 PPN131070:PPN131078 PPN131096:PPN131097 PPN131116 PPN131121 PPN196606:PPN196614 PPN196632:PPN196633 PPN196652 PPN196657 PPN262142:PPN262150 PPN262168:PPN262169 PPN262188 PPN262193 PPN327678:PPN327686 PPN327704:PPN327705 PPN327724 PPN327729 PPN393214:PPN393222 PPN393240:PPN393241 PPN393260 PPN393265 PPN458750:PPN458758 PPN458776:PPN458777 PPN458796 PPN458801 PPN524286:PPN524294 PPN524312:PPN524313 PPN524332 PPN524337 PPN589822:PPN589830 PPN589848:PPN589849 PPN589868 PPN589873 PPN655358:PPN655366 PPN655384:PPN655385 PPN655404 PPN655409 PPN720894:PPN720902 PPN720920:PPN720921 PPN720940 PPN720945 PPN786430:PPN786438 PPN786456:PPN786457 PPN786476 PPN786481 PPN851966:PPN851974 PPN851992:PPN851993 PPN852012 PPN852017 PPN917502:PPN917510 PPN917528:PPN917529 PPN917548 PPN917553 PPN983038:PPN983046 PPN983064:PPN983065 PPN983084 PPN983089 PPY65519:PPY65529 PPY131055:PPY131065 PPY196591:PPY196601 PPY262127:PPY262137 PPY327663:PPY327673 PPY393199:PPY393209 PPY458735:PPY458745 PPY524271:PPY524281 PPY589807:PPY589817 PPY655343:PPY655353 PPY720879:PPY720889 PPY786415:PPY786425 PPY851951:PPY851961 PPY917487:PPY917497 PPY983023:PPY983033 PZJ15:PZJ23 PZJ39:PZJ44 PZJ53:PZJ54 PZJ65534:PZJ65542 PZJ65560:PZJ65561 PZJ65580 PZJ65585 PZJ131070:PZJ131078 PZJ131096:PZJ131097 PZJ131116 PZJ131121 PZJ196606:PZJ196614 PZJ196632:PZJ196633 PZJ196652 PZJ196657 PZJ262142:PZJ262150 PZJ262168:PZJ262169 PZJ262188 PZJ262193 PZJ327678:PZJ327686 PZJ327704:PZJ327705 PZJ327724 PZJ327729 PZJ393214:PZJ393222 PZJ393240:PZJ393241 PZJ393260 PZJ393265 PZJ458750:PZJ458758 PZJ458776:PZJ458777 PZJ458796 PZJ458801 PZJ524286:PZJ524294 PZJ524312:PZJ524313 PZJ524332 PZJ524337 PZJ589822:PZJ589830 PZJ589848:PZJ589849 PZJ589868 PZJ589873 PZJ655358:PZJ655366 PZJ655384:PZJ655385 PZJ655404 PZJ655409 PZJ720894:PZJ720902 PZJ720920:PZJ720921 PZJ720940 PZJ720945 PZJ786430:PZJ786438 PZJ786456:PZJ786457 PZJ786476 PZJ786481 PZJ851966:PZJ851974 PZJ851992:PZJ851993 PZJ852012 PZJ852017 PZJ917502:PZJ917510 PZJ917528:PZJ917529 PZJ917548 PZJ917553 PZJ983038:PZJ983046 PZJ983064:PZJ983065 PZJ983084 PZJ983089 PZU65519:PZU65529 PZU131055:PZU131065 PZU196591:PZU196601 PZU262127:PZU262137 PZU327663:PZU327673 PZU393199:PZU393209 PZU458735:PZU458745 PZU524271:PZU524281 PZU589807:PZU589817 PZU655343:PZU655353 PZU720879:PZU720889 PZU786415:PZU786425 PZU851951:PZU851961 PZU917487:PZU917497 PZU983023:PZU983033 QJF15:QJF23 QJF39:QJF44 QJF53:QJF54 QJF65534:QJF65542 QJF65560:QJF65561 QJF65580 QJF65585 QJF131070:QJF131078 QJF131096:QJF131097 QJF131116 QJF131121 QJF196606:QJF196614 QJF196632:QJF196633 QJF196652 QJF196657 QJF262142:QJF262150 QJF262168:QJF262169 QJF262188 QJF262193 QJF327678:QJF327686 QJF327704:QJF327705 QJF327724 QJF327729 QJF393214:QJF393222 QJF393240:QJF393241 QJF393260 QJF393265 QJF458750:QJF458758 QJF458776:QJF458777 QJF458796 QJF458801 QJF524286:QJF524294 QJF524312:QJF524313 QJF524332 QJF524337 QJF589822:QJF589830 QJF589848:QJF589849 QJF589868 QJF589873 QJF655358:QJF655366 QJF655384:QJF655385 QJF655404 QJF655409 QJF720894:QJF720902 QJF720920:QJF720921 QJF720940 QJF720945 QJF786430:QJF786438 QJF786456:QJF786457 QJF786476 QJF786481 QJF851966:QJF851974 QJF851992:QJF851993 QJF852012 QJF852017 QJF917502:QJF917510 QJF917528:QJF917529 QJF917548 QJF917553 QJF983038:QJF983046 QJF983064:QJF983065 QJF983084 QJF983089 QJQ65519:QJQ65529 QJQ131055:QJQ131065 QJQ196591:QJQ196601 QJQ262127:QJQ262137 QJQ327663:QJQ327673 QJQ393199:QJQ393209 QJQ458735:QJQ458745 QJQ524271:QJQ524281 QJQ589807:QJQ589817 QJQ655343:QJQ655353 QJQ720879:QJQ720889 QJQ786415:QJQ786425 QJQ851951:QJQ851961 QJQ917487:QJQ917497 QJQ983023:QJQ983033 QTB15:QTB23 QTB39:QTB44 QTB53:QTB54 QTB65534:QTB65542 QTB65560:QTB65561 QTB65580 QTB65585 QTB131070:QTB131078 QTB131096:QTB131097 QTB131116 QTB131121 QTB196606:QTB196614 QTB196632:QTB196633 QTB196652 QTB196657 QTB262142:QTB262150 QTB262168:QTB262169 QTB262188 QTB262193 QTB327678:QTB327686 QTB327704:QTB327705 QTB327724 QTB327729 QTB393214:QTB393222 QTB393240:QTB393241 QTB393260 QTB393265 QTB458750:QTB458758 QTB458776:QTB458777 QTB458796 QTB458801 QTB524286:QTB524294 QTB524312:QTB524313 QTB524332 QTB524337 QTB589822:QTB589830 QTB589848:QTB589849 QTB589868 QTB589873 QTB655358:QTB655366 QTB655384:QTB655385 QTB655404 QTB655409 QTB720894:QTB720902 QTB720920:QTB720921 QTB720940 QTB720945 QTB786430:QTB786438 QTB786456:QTB786457 QTB786476 QTB786481 QTB851966:QTB851974 QTB851992:QTB851993 QTB852012 QTB852017 QTB917502:QTB917510 QTB917528:QTB917529 QTB917548 QTB917553 QTB983038:QTB983046 QTB983064:QTB983065 QTB983084 QTB983089 QTM65519:QTM65529 QTM131055:QTM131065 QTM196591:QTM196601 QTM262127:QTM262137 QTM327663:QTM327673 QTM393199:QTM393209 QTM458735:QTM458745 QTM524271:QTM524281 QTM589807:QTM589817 QTM655343:QTM655353 QTM720879:QTM720889 QTM786415:QTM786425 QTM851951:QTM851961 QTM917487:QTM917497 QTM983023:QTM983033 RCX15:RCX23 RCX39:RCX44 RCX53:RCX54 RCX65534:RCX65542 RCX65560:RCX65561 RCX65580 RCX65585 RCX131070:RCX131078 RCX131096:RCX131097 RCX131116 RCX131121 RCX196606:RCX196614 RCX196632:RCX196633 RCX196652 RCX196657 RCX262142:RCX262150 RCX262168:RCX262169 RCX262188 RCX262193 RCX327678:RCX327686 RCX327704:RCX327705 RCX327724 RCX327729 RCX393214:RCX393222 RCX393240:RCX393241 RCX393260 RCX393265 RCX458750:RCX458758 RCX458776:RCX458777 RCX458796 RCX458801 RCX524286:RCX524294 RCX524312:RCX524313 RCX524332 RCX524337 RCX589822:RCX589830 RCX589848:RCX589849 RCX589868 RCX589873 RCX655358:RCX655366 RCX655384:RCX655385 RCX655404 RCX655409 RCX720894:RCX720902 RCX720920:RCX720921 RCX720940 RCX720945 RCX786430:RCX786438 RCX786456:RCX786457 RCX786476 RCX786481 RCX851966:RCX851974 RCX851992:RCX851993 RCX852012 RCX852017 RCX917502:RCX917510 RCX917528:RCX917529 RCX917548 RCX917553 RCX983038:RCX983046 RCX983064:RCX983065 RCX983084 RCX983089 RDI65519:RDI65529 RDI131055:RDI131065 RDI196591:RDI196601 RDI262127:RDI262137 RDI327663:RDI327673 RDI393199:RDI393209 RDI458735:RDI458745 RDI524271:RDI524281 RDI589807:RDI589817 RDI655343:RDI655353 RDI720879:RDI720889 RDI786415:RDI786425 RDI851951:RDI851961 RDI917487:RDI917497 RDI983023:RDI983033 RMT15:RMT23 RMT39:RMT44 RMT53:RMT54 RMT65534:RMT65542 RMT65560:RMT65561 RMT65580 RMT65585 RMT131070:RMT131078 RMT131096:RMT131097 RMT131116 RMT131121 RMT196606:RMT196614 RMT196632:RMT196633 RMT196652 RMT196657 RMT262142:RMT262150 RMT262168:RMT262169 RMT262188 RMT262193 RMT327678:RMT327686 RMT327704:RMT327705 RMT327724 RMT327729 RMT393214:RMT393222 RMT393240:RMT393241 RMT393260 RMT393265 RMT458750:RMT458758 RMT458776:RMT458777 RMT458796 RMT458801 RMT524286:RMT524294 RMT524312:RMT524313 RMT524332 RMT524337 RMT589822:RMT589830 RMT589848:RMT589849 RMT589868 RMT589873 RMT655358:RMT655366 RMT655384:RMT655385 RMT655404 RMT655409 RMT720894:RMT720902 RMT720920:RMT720921 RMT720940 RMT720945 RMT786430:RMT786438 RMT786456:RMT786457 RMT786476 RMT786481 RMT851966:RMT851974 RMT851992:RMT851993 RMT852012 RMT852017 RMT917502:RMT917510 RMT917528:RMT917529 RMT917548 RMT917553 RMT983038:RMT983046 RMT983064:RMT983065 RMT983084 RMT983089 RNE65519:RNE65529 RNE131055:RNE131065 RNE196591:RNE196601 RNE262127:RNE262137 RNE327663:RNE327673 RNE393199:RNE393209 RNE458735:RNE458745 RNE524271:RNE524281 RNE589807:RNE589817 RNE655343:RNE655353 RNE720879:RNE720889 RNE786415:RNE786425 RNE851951:RNE851961 RNE917487:RNE917497 RNE983023:RNE983033 RWP15:RWP23 RWP39:RWP44 RWP53:RWP54 RWP65534:RWP65542 RWP65560:RWP65561 RWP65580 RWP65585 RWP131070:RWP131078 RWP131096:RWP131097 RWP131116 RWP131121 RWP196606:RWP196614 RWP196632:RWP196633 RWP196652 RWP196657 RWP262142:RWP262150 RWP262168:RWP262169 RWP262188 RWP262193 RWP327678:RWP327686 RWP327704:RWP327705 RWP327724 RWP327729 RWP393214:RWP393222 RWP393240:RWP393241 RWP393260 RWP393265 RWP458750:RWP458758 RWP458776:RWP458777 RWP458796 RWP458801 RWP524286:RWP524294 RWP524312:RWP524313 RWP524332 RWP524337 RWP589822:RWP589830 RWP589848:RWP589849 RWP589868 RWP589873 RWP655358:RWP655366 RWP655384:RWP655385 RWP655404 RWP655409 RWP720894:RWP720902 RWP720920:RWP720921 RWP720940 RWP720945 RWP786430:RWP786438 RWP786456:RWP786457 RWP786476 RWP786481 RWP851966:RWP851974 RWP851992:RWP851993 RWP852012 RWP852017 RWP917502:RWP917510 RWP917528:RWP917529 RWP917548 RWP917553 RWP983038:RWP983046 RWP983064:RWP983065 RWP983084 RWP983089 RXA65519:RXA65529 RXA131055:RXA131065 RXA196591:RXA196601 RXA262127:RXA262137 RXA327663:RXA327673 RXA393199:RXA393209 RXA458735:RXA458745 RXA524271:RXA524281 RXA589807:RXA589817 RXA655343:RXA655353 RXA720879:RXA720889 RXA786415:RXA786425 RXA851951:RXA851961 RXA917487:RXA917497 RXA983023:RXA983033 SGL15:SGL23 SGL39:SGL44 SGL53:SGL54 SGL65534:SGL65542 SGL65560:SGL65561 SGL65580 SGL65585 SGL131070:SGL131078 SGL131096:SGL131097 SGL131116 SGL131121 SGL196606:SGL196614 SGL196632:SGL196633 SGL196652 SGL196657 SGL262142:SGL262150 SGL262168:SGL262169 SGL262188 SGL262193 SGL327678:SGL327686 SGL327704:SGL327705 SGL327724 SGL327729 SGL393214:SGL393222 SGL393240:SGL393241 SGL393260 SGL393265 SGL458750:SGL458758 SGL458776:SGL458777 SGL458796 SGL458801 SGL524286:SGL524294 SGL524312:SGL524313 SGL524332 SGL524337 SGL589822:SGL589830 SGL589848:SGL589849 SGL589868 SGL589873 SGL655358:SGL655366 SGL655384:SGL655385 SGL655404 SGL655409 SGL720894:SGL720902 SGL720920:SGL720921 SGL720940 SGL720945 SGL786430:SGL786438 SGL786456:SGL786457 SGL786476 SGL786481 SGL851966:SGL851974 SGL851992:SGL851993 SGL852012 SGL852017 SGL917502:SGL917510 SGL917528:SGL917529 SGL917548 SGL917553 SGL983038:SGL983046 SGL983064:SGL983065 SGL983084 SGL983089 SGW65519:SGW65529 SGW131055:SGW131065 SGW196591:SGW196601 SGW262127:SGW262137 SGW327663:SGW327673 SGW393199:SGW393209 SGW458735:SGW458745 SGW524271:SGW524281 SGW589807:SGW589817 SGW655343:SGW655353 SGW720879:SGW720889 SGW786415:SGW786425 SGW851951:SGW851961 SGW917487:SGW917497 SGW983023:SGW983033 SQH15:SQH23 SQH39:SQH44 SQH53:SQH54 SQH65534:SQH65542 SQH65560:SQH65561 SQH65580 SQH65585 SQH131070:SQH131078 SQH131096:SQH131097 SQH131116 SQH131121 SQH196606:SQH196614 SQH196632:SQH196633 SQH196652 SQH196657 SQH262142:SQH262150 SQH262168:SQH262169 SQH262188 SQH262193 SQH327678:SQH327686 SQH327704:SQH327705 SQH327724 SQH327729 SQH393214:SQH393222 SQH393240:SQH393241 SQH393260 SQH393265 SQH458750:SQH458758 SQH458776:SQH458777 SQH458796 SQH458801 SQH524286:SQH524294 SQH524312:SQH524313 SQH524332 SQH524337 SQH589822:SQH589830 SQH589848:SQH589849 SQH589868 SQH589873 SQH655358:SQH655366 SQH655384:SQH655385 SQH655404 SQH655409 SQH720894:SQH720902 SQH720920:SQH720921 SQH720940 SQH720945 SQH786430:SQH786438 SQH786456:SQH786457 SQH786476 SQH786481 SQH851966:SQH851974 SQH851992:SQH851993 SQH852012 SQH852017 SQH917502:SQH917510 SQH917528:SQH917529 SQH917548 SQH917553 SQH983038:SQH983046 SQH983064:SQH983065 SQH983084 SQH983089 SQS65519:SQS65529 SQS131055:SQS131065 SQS196591:SQS196601 SQS262127:SQS262137 SQS327663:SQS327673 SQS393199:SQS393209 SQS458735:SQS458745 SQS524271:SQS524281 SQS589807:SQS589817 SQS655343:SQS655353 SQS720879:SQS720889 SQS786415:SQS786425 SQS851951:SQS851961 SQS917487:SQS917497 SQS983023:SQS983033 TAD15:TAD23 TAD39:TAD44 TAD53:TAD54 TAD65534:TAD65542 TAD65560:TAD65561 TAD65580 TAD65585 TAD131070:TAD131078 TAD131096:TAD131097 TAD131116 TAD131121 TAD196606:TAD196614 TAD196632:TAD196633 TAD196652 TAD196657 TAD262142:TAD262150 TAD262168:TAD262169 TAD262188 TAD262193 TAD327678:TAD327686 TAD327704:TAD327705 TAD327724 TAD327729 TAD393214:TAD393222 TAD393240:TAD393241 TAD393260 TAD393265 TAD458750:TAD458758 TAD458776:TAD458777 TAD458796 TAD458801 TAD524286:TAD524294 TAD524312:TAD524313 TAD524332 TAD524337 TAD589822:TAD589830 TAD589848:TAD589849 TAD589868 TAD589873 TAD655358:TAD655366 TAD655384:TAD655385 TAD655404 TAD655409 TAD720894:TAD720902 TAD720920:TAD720921 TAD720940 TAD720945 TAD786430:TAD786438 TAD786456:TAD786457 TAD786476 TAD786481 TAD851966:TAD851974 TAD851992:TAD851993 TAD852012 TAD852017 TAD917502:TAD917510 TAD917528:TAD917529 TAD917548 TAD917553 TAD983038:TAD983046 TAD983064:TAD983065 TAD983084 TAD983089 TAO65519:TAO65529 TAO131055:TAO131065 TAO196591:TAO196601 TAO262127:TAO262137 TAO327663:TAO327673 TAO393199:TAO393209 TAO458735:TAO458745 TAO524271:TAO524281 TAO589807:TAO589817 TAO655343:TAO655353 TAO720879:TAO720889 TAO786415:TAO786425 TAO851951:TAO851961 TAO917487:TAO917497 TAO983023:TAO983033 TJZ15:TJZ23 TJZ39:TJZ44 TJZ53:TJZ54 TJZ65534:TJZ65542 TJZ65560:TJZ65561 TJZ65580 TJZ65585 TJZ131070:TJZ131078 TJZ131096:TJZ131097 TJZ131116 TJZ131121 TJZ196606:TJZ196614 TJZ196632:TJZ196633 TJZ196652 TJZ196657 TJZ262142:TJZ262150 TJZ262168:TJZ262169 TJZ262188 TJZ262193 TJZ327678:TJZ327686 TJZ327704:TJZ327705 TJZ327724 TJZ327729 TJZ393214:TJZ393222 TJZ393240:TJZ393241 TJZ393260 TJZ393265 TJZ458750:TJZ458758 TJZ458776:TJZ458777 TJZ458796 TJZ458801 TJZ524286:TJZ524294 TJZ524312:TJZ524313 TJZ524332 TJZ524337 TJZ589822:TJZ589830 TJZ589848:TJZ589849 TJZ589868 TJZ589873 TJZ655358:TJZ655366 TJZ655384:TJZ655385 TJZ655404 TJZ655409 TJZ720894:TJZ720902 TJZ720920:TJZ720921 TJZ720940 TJZ720945 TJZ786430:TJZ786438 TJZ786456:TJZ786457 TJZ786476 TJZ786481 TJZ851966:TJZ851974 TJZ851992:TJZ851993 TJZ852012 TJZ852017 TJZ917502:TJZ917510 TJZ917528:TJZ917529 TJZ917548 TJZ917553 TJZ983038:TJZ983046 TJZ983064:TJZ983065 TJZ983084 TJZ983089 TKK65519:TKK65529 TKK131055:TKK131065 TKK196591:TKK196601 TKK262127:TKK262137 TKK327663:TKK327673 TKK393199:TKK393209 TKK458735:TKK458745 TKK524271:TKK524281 TKK589807:TKK589817 TKK655343:TKK655353 TKK720879:TKK720889 TKK786415:TKK786425 TKK851951:TKK851961 TKK917487:TKK917497 TKK983023:TKK983033 TTV15:TTV23 TTV39:TTV44 TTV53:TTV54 TTV65534:TTV65542 TTV65560:TTV65561 TTV65580 TTV65585 TTV131070:TTV131078 TTV131096:TTV131097 TTV131116 TTV131121 TTV196606:TTV196614 TTV196632:TTV196633 TTV196652 TTV196657 TTV262142:TTV262150 TTV262168:TTV262169 TTV262188 TTV262193 TTV327678:TTV327686 TTV327704:TTV327705 TTV327724 TTV327729 TTV393214:TTV393222 TTV393240:TTV393241 TTV393260 TTV393265 TTV458750:TTV458758 TTV458776:TTV458777 TTV458796 TTV458801 TTV524286:TTV524294 TTV524312:TTV524313 TTV524332 TTV524337 TTV589822:TTV589830 TTV589848:TTV589849 TTV589868 TTV589873 TTV655358:TTV655366 TTV655384:TTV655385 TTV655404 TTV655409 TTV720894:TTV720902 TTV720920:TTV720921 TTV720940 TTV720945 TTV786430:TTV786438 TTV786456:TTV786457 TTV786476 TTV786481 TTV851966:TTV851974 TTV851992:TTV851993 TTV852012 TTV852017 TTV917502:TTV917510 TTV917528:TTV917529 TTV917548 TTV917553 TTV983038:TTV983046 TTV983064:TTV983065 TTV983084 TTV983089 TUG65519:TUG65529 TUG131055:TUG131065 TUG196591:TUG196601 TUG262127:TUG262137 TUG327663:TUG327673 TUG393199:TUG393209 TUG458735:TUG458745 TUG524271:TUG524281 TUG589807:TUG589817 TUG655343:TUG655353 TUG720879:TUG720889 TUG786415:TUG786425 TUG851951:TUG851961 TUG917487:TUG917497 TUG983023:TUG983033 UDR15:UDR23 UDR39:UDR44 UDR53:UDR54 UDR65534:UDR65542 UDR65560:UDR65561 UDR65580 UDR65585 UDR131070:UDR131078 UDR131096:UDR131097 UDR131116 UDR131121 UDR196606:UDR196614 UDR196632:UDR196633 UDR196652 UDR196657 UDR262142:UDR262150 UDR262168:UDR262169 UDR262188 UDR262193 UDR327678:UDR327686 UDR327704:UDR327705 UDR327724 UDR327729 UDR393214:UDR393222 UDR393240:UDR393241 UDR393260 UDR393265 UDR458750:UDR458758 UDR458776:UDR458777 UDR458796 UDR458801 UDR524286:UDR524294 UDR524312:UDR524313 UDR524332 UDR524337 UDR589822:UDR589830 UDR589848:UDR589849 UDR589868 UDR589873 UDR655358:UDR655366 UDR655384:UDR655385 UDR655404 UDR655409 UDR720894:UDR720902 UDR720920:UDR720921 UDR720940 UDR720945 UDR786430:UDR786438 UDR786456:UDR786457 UDR786476 UDR786481 UDR851966:UDR851974 UDR851992:UDR851993 UDR852012 UDR852017 UDR917502:UDR917510 UDR917528:UDR917529 UDR917548 UDR917553 UDR983038:UDR983046 UDR983064:UDR983065 UDR983084 UDR983089 UEC65519:UEC65529 UEC131055:UEC131065 UEC196591:UEC196601 UEC262127:UEC262137 UEC327663:UEC327673 UEC393199:UEC393209 UEC458735:UEC458745 UEC524271:UEC524281 UEC589807:UEC589817 UEC655343:UEC655353 UEC720879:UEC720889 UEC786415:UEC786425 UEC851951:UEC851961 UEC917487:UEC917497 UEC983023:UEC983033 UNN15:UNN23 UNN39:UNN44 UNN53:UNN54 UNN65534:UNN65542 UNN65560:UNN65561 UNN65580 UNN65585 UNN131070:UNN131078 UNN131096:UNN131097 UNN131116 UNN131121 UNN196606:UNN196614 UNN196632:UNN196633 UNN196652 UNN196657 UNN262142:UNN262150 UNN262168:UNN262169 UNN262188 UNN262193 UNN327678:UNN327686 UNN327704:UNN327705 UNN327724 UNN327729 UNN393214:UNN393222 UNN393240:UNN393241 UNN393260 UNN393265 UNN458750:UNN458758 UNN458776:UNN458777 UNN458796 UNN458801 UNN524286:UNN524294 UNN524312:UNN524313 UNN524332 UNN524337 UNN589822:UNN589830 UNN589848:UNN589849 UNN589868 UNN589873 UNN655358:UNN655366 UNN655384:UNN655385 UNN655404 UNN655409 UNN720894:UNN720902 UNN720920:UNN720921 UNN720940 UNN720945 UNN786430:UNN786438 UNN786456:UNN786457 UNN786476 UNN786481 UNN851966:UNN851974 UNN851992:UNN851993 UNN852012 UNN852017 UNN917502:UNN917510 UNN917528:UNN917529 UNN917548 UNN917553 UNN983038:UNN983046 UNN983064:UNN983065 UNN983084 UNN983089 UNY65519:UNY65529 UNY131055:UNY131065 UNY196591:UNY196601 UNY262127:UNY262137 UNY327663:UNY327673 UNY393199:UNY393209 UNY458735:UNY458745 UNY524271:UNY524281 UNY589807:UNY589817 UNY655343:UNY655353 UNY720879:UNY720889 UNY786415:UNY786425 UNY851951:UNY851961 UNY917487:UNY917497 UNY983023:UNY983033 UXJ15:UXJ23 UXJ39:UXJ44 UXJ53:UXJ54 UXJ65534:UXJ65542 UXJ65560:UXJ65561 UXJ65580 UXJ65585 UXJ131070:UXJ131078 UXJ131096:UXJ131097 UXJ131116 UXJ131121 UXJ196606:UXJ196614 UXJ196632:UXJ196633 UXJ196652 UXJ196657 UXJ262142:UXJ262150 UXJ262168:UXJ262169 UXJ262188 UXJ262193 UXJ327678:UXJ327686 UXJ327704:UXJ327705 UXJ327724 UXJ327729 UXJ393214:UXJ393222 UXJ393240:UXJ393241 UXJ393260 UXJ393265 UXJ458750:UXJ458758 UXJ458776:UXJ458777 UXJ458796 UXJ458801 UXJ524286:UXJ524294 UXJ524312:UXJ524313 UXJ524332 UXJ524337 UXJ589822:UXJ589830 UXJ589848:UXJ589849 UXJ589868 UXJ589873 UXJ655358:UXJ655366 UXJ655384:UXJ655385 UXJ655404 UXJ655409 UXJ720894:UXJ720902 UXJ720920:UXJ720921 UXJ720940 UXJ720945 UXJ786430:UXJ786438 UXJ786456:UXJ786457 UXJ786476 UXJ786481 UXJ851966:UXJ851974 UXJ851992:UXJ851993 UXJ852012 UXJ852017 UXJ917502:UXJ917510 UXJ917528:UXJ917529 UXJ917548 UXJ917553 UXJ983038:UXJ983046 UXJ983064:UXJ983065 UXJ983084 UXJ983089 UXU65519:UXU65529 UXU131055:UXU131065 UXU196591:UXU196601 UXU262127:UXU262137 UXU327663:UXU327673 UXU393199:UXU393209 UXU458735:UXU458745 UXU524271:UXU524281 UXU589807:UXU589817 UXU655343:UXU655353 UXU720879:UXU720889 UXU786415:UXU786425 UXU851951:UXU851961 UXU917487:UXU917497 UXU983023:UXU983033 VHF15:VHF23 VHF39:VHF44 VHF53:VHF54 VHF65534:VHF65542 VHF65560:VHF65561 VHF65580 VHF65585 VHF131070:VHF131078 VHF131096:VHF131097 VHF131116 VHF131121 VHF196606:VHF196614 VHF196632:VHF196633 VHF196652 VHF196657 VHF262142:VHF262150 VHF262168:VHF262169 VHF262188 VHF262193 VHF327678:VHF327686 VHF327704:VHF327705 VHF327724 VHF327729 VHF393214:VHF393222 VHF393240:VHF393241 VHF393260 VHF393265 VHF458750:VHF458758 VHF458776:VHF458777 VHF458796 VHF458801 VHF524286:VHF524294 VHF524312:VHF524313 VHF524332 VHF524337 VHF589822:VHF589830 VHF589848:VHF589849 VHF589868 VHF589873 VHF655358:VHF655366 VHF655384:VHF655385 VHF655404 VHF655409 VHF720894:VHF720902 VHF720920:VHF720921 VHF720940 VHF720945 VHF786430:VHF786438 VHF786456:VHF786457 VHF786476 VHF786481 VHF851966:VHF851974 VHF851992:VHF851993 VHF852012 VHF852017 VHF917502:VHF917510 VHF917528:VHF917529 VHF917548 VHF917553 VHF983038:VHF983046 VHF983064:VHF983065 VHF983084 VHF983089 VHQ65519:VHQ65529 VHQ131055:VHQ131065 VHQ196591:VHQ196601 VHQ262127:VHQ262137 VHQ327663:VHQ327673 VHQ393199:VHQ393209 VHQ458735:VHQ458745 VHQ524271:VHQ524281 VHQ589807:VHQ589817 VHQ655343:VHQ655353 VHQ720879:VHQ720889 VHQ786415:VHQ786425 VHQ851951:VHQ851961 VHQ917487:VHQ917497 VHQ983023:VHQ983033 VRB15:VRB23 VRB39:VRB44 VRB53:VRB54 VRB65534:VRB65542 VRB65560:VRB65561 VRB65580 VRB65585 VRB131070:VRB131078 VRB131096:VRB131097 VRB131116 VRB131121 VRB196606:VRB196614 VRB196632:VRB196633 VRB196652 VRB196657 VRB262142:VRB262150 VRB262168:VRB262169 VRB262188 VRB262193 VRB327678:VRB327686 VRB327704:VRB327705 VRB327724 VRB327729 VRB393214:VRB393222 VRB393240:VRB393241 VRB393260 VRB393265 VRB458750:VRB458758 VRB458776:VRB458777 VRB458796 VRB458801 VRB524286:VRB524294 VRB524312:VRB524313 VRB524332 VRB524337 VRB589822:VRB589830 VRB589848:VRB589849 VRB589868 VRB589873 VRB655358:VRB655366 VRB655384:VRB655385 VRB655404 VRB655409 VRB720894:VRB720902 VRB720920:VRB720921 VRB720940 VRB720945 VRB786430:VRB786438 VRB786456:VRB786457 VRB786476 VRB786481 VRB851966:VRB851974 VRB851992:VRB851993 VRB852012 VRB852017 VRB917502:VRB917510 VRB917528:VRB917529 VRB917548 VRB917553 VRB983038:VRB983046 VRB983064:VRB983065 VRB983084 VRB983089 VRM65519:VRM65529 VRM131055:VRM131065 VRM196591:VRM196601 VRM262127:VRM262137 VRM327663:VRM327673 VRM393199:VRM393209 VRM458735:VRM458745 VRM524271:VRM524281 VRM589807:VRM589817 VRM655343:VRM655353 VRM720879:VRM720889 VRM786415:VRM786425 VRM851951:VRM851961 VRM917487:VRM917497 VRM983023:VRM983033 WAX15:WAX23 WAX39:WAX44 WAX53:WAX54 WAX65534:WAX65542 WAX65560:WAX65561 WAX65580 WAX65585 WAX131070:WAX131078 WAX131096:WAX131097 WAX131116 WAX131121 WAX196606:WAX196614 WAX196632:WAX196633 WAX196652 WAX196657 WAX262142:WAX262150 WAX262168:WAX262169 WAX262188 WAX262193 WAX327678:WAX327686 WAX327704:WAX327705 WAX327724 WAX327729 WAX393214:WAX393222 WAX393240:WAX393241 WAX393260 WAX393265 WAX458750:WAX458758 WAX458776:WAX458777 WAX458796 WAX458801 WAX524286:WAX524294 WAX524312:WAX524313 WAX524332 WAX524337 WAX589822:WAX589830 WAX589848:WAX589849 WAX589868 WAX589873 WAX655358:WAX655366 WAX655384:WAX655385 WAX655404 WAX655409 WAX720894:WAX720902 WAX720920:WAX720921 WAX720940 WAX720945 WAX786430:WAX786438 WAX786456:WAX786457 WAX786476 WAX786481 WAX851966:WAX851974 WAX851992:WAX851993 WAX852012 WAX852017 WAX917502:WAX917510 WAX917528:WAX917529 WAX917548 WAX917553 WAX983038:WAX983046 WAX983064:WAX983065 WAX983084 WAX983089 WBI65519:WBI65529 WBI131055:WBI131065 WBI196591:WBI196601 WBI262127:WBI262137 WBI327663:WBI327673 WBI393199:WBI393209 WBI458735:WBI458745 WBI524271:WBI524281 WBI589807:WBI589817 WBI655343:WBI655353 WBI720879:WBI720889 WBI786415:WBI786425 WBI851951:WBI851961 WBI917487:WBI917497 WBI983023:WBI983033 WKT15:WKT23 WKT39:WKT44 WKT53:WKT54 WKT65534:WKT65542 WKT65560:WKT65561 WKT65580 WKT65585 WKT131070:WKT131078 WKT131096:WKT131097 WKT131116 WKT131121 WKT196606:WKT196614 WKT196632:WKT196633 WKT196652 WKT196657 WKT262142:WKT262150 WKT262168:WKT262169 WKT262188 WKT262193 WKT327678:WKT327686 WKT327704:WKT327705 WKT327724 WKT327729 WKT393214:WKT393222 WKT393240:WKT393241 WKT393260 WKT393265 WKT458750:WKT458758 WKT458776:WKT458777 WKT458796 WKT458801 WKT524286:WKT524294 WKT524312:WKT524313 WKT524332 WKT524337 WKT589822:WKT589830 WKT589848:WKT589849 WKT589868 WKT589873 WKT655358:WKT655366 WKT655384:WKT655385 WKT655404 WKT655409 WKT720894:WKT720902 WKT720920:WKT720921 WKT720940 WKT720945 WKT786430:WKT786438 WKT786456:WKT786457 WKT786476 WKT786481 WKT851966:WKT851974 WKT851992:WKT851993 WKT852012 WKT852017 WKT917502:WKT917510 WKT917528:WKT917529 WKT917548 WKT917553 WKT983038:WKT983046 WKT983064:WKT983065 WKT983084 WKT983089 WLE65519:WLE65529 WLE131055:WLE131065 WLE196591:WLE196601 WLE262127:WLE262137 WLE327663:WLE327673 WLE393199:WLE393209 WLE458735:WLE458745 WLE524271:WLE524281 WLE589807:WLE589817 WLE655343:WLE655353 WLE720879:WLE720889 WLE786415:WLE786425 WLE851951:WLE851961 WLE917487:WLE917497 WLE983023:WLE983033 WUP15:WUP23 WUP39:WUP44 WUP53:WUP54 WUP65534:WUP65542 WUP65560:WUP65561 WUP65580 WUP65585 WUP131070:WUP131078 WUP131096:WUP131097 WUP131116 WUP131121 WUP196606:WUP196614 WUP196632:WUP196633 WUP196652 WUP196657 WUP262142:WUP262150 WUP262168:WUP262169 WUP262188 WUP262193 WUP327678:WUP327686 WUP327704:WUP327705 WUP327724 WUP327729 WUP393214:WUP393222 WUP393240:WUP393241 WUP393260 WUP393265 WUP458750:WUP458758 WUP458776:WUP458777 WUP458796 WUP458801 WUP524286:WUP524294 WUP524312:WUP524313 WUP524332 WUP524337 WUP589822:WUP589830 WUP589848:WUP589849 WUP589868 WUP589873 WUP655358:WUP655366 WUP655384:WUP655385 WUP655404 WUP655409 WUP720894:WUP720902 WUP720920:WUP720921 WUP720940 WUP720945 WUP786430:WUP786438 WUP786456:WUP786457 WUP786476 WUP786481 WUP851966:WUP851974 WUP851992:WUP851993 WUP852012 WUP852017 WUP917502:WUP917510 WUP917528:WUP917529 WUP917548 WUP917553 WUP983038:WUP983046 WUP983064:WUP983065 WUP983084 WUP983089 WVA65519:WVA65529 WVA131055:WVA131065 WVA196591:WVA196601 WVA262127:WVA262137 WVA327663:WVA327673 WVA393199:WVA393209 WVA458735:WVA458745 WVA524271:WVA524281 WVA589807:WVA589817 WVA655343:WVA655353 WVA720879:WVA720889 WVA786415:WVA786425 WVA851951:WVA851961 WVA917487:WVA917497 WVA983023:WVA983033" xr:uid="{00000000-0002-0000-A500-000002000000}">
      <formula1>#REF!</formula1>
    </dataValidation>
  </dataValidations>
  <printOptions horizontalCentered="1"/>
  <pageMargins left="0.78740157480314965" right="0.35433070866141742" top="0.39370078740157483" bottom="0.39370078740157483" header="0.31496062992125978" footer="0.11811023622047249"/>
  <pageSetup paperSize="9" scale="50" orientation="portrait"/>
  <headerFooter alignWithMargins="0">
    <oddFooter>&amp;L&amp;Z&amp;F</oddFooter>
  </headerFooter>
  <drawing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sheetPr>
    <tabColor theme="8" tint="0.79998168889431442"/>
    <pageSetUpPr fitToPage="1"/>
  </sheetPr>
  <dimension ref="A1:AD150"/>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83203125" style="163" bestFit="1" customWidth="1"/>
    <col min="13" max="13" width="1.33203125" style="265" hidden="1" customWidth="1"/>
    <col min="14" max="14" width="14.5" style="267" bestFit="1" customWidth="1"/>
    <col min="15" max="15" width="13.6640625" style="14" bestFit="1" customWidth="1"/>
    <col min="16"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660</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IF([17]CANOPY!C3="","",[17]CANOPY!C3)</f>
        <v>#REF!</v>
      </c>
      <c r="E3" s="934"/>
      <c r="G3" s="71" t="s">
        <v>4</v>
      </c>
      <c r="H3" s="935" t="e">
        <f>IF([17]CANOPY!G3="","",[17]CANOPY!G3)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IF([17]CANOPY!C5="","",[17]CANOPY!C5)</f>
        <v>#REF!</v>
      </c>
      <c r="E5" s="934"/>
      <c r="G5" s="71" t="s">
        <v>8</v>
      </c>
      <c r="H5" s="935" t="e">
        <f>IF([17]CANOPY!G5="","",[17]CANOPY!G5)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IF([17]CANOPY!C7="","",[17]CANOPY!C7)</f>
        <v>#REF!</v>
      </c>
      <c r="E7" s="934"/>
      <c r="G7" s="71" t="s">
        <v>12</v>
      </c>
      <c r="H7" s="939" t="e">
        <f>IF([17]CANOPY!G7="","",[17]CANOPY!G7)</f>
        <v>#REF!</v>
      </c>
      <c r="I7" s="936"/>
      <c r="J7" s="937"/>
      <c r="N7" s="266" t="s">
        <v>14</v>
      </c>
      <c r="O7" s="787" t="e">
        <f>IF([17]CANOPY!O7="","",[17]CANOPY!O7)</f>
        <v>#REF!</v>
      </c>
      <c r="P7" s="997"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32">
        <v>0</v>
      </c>
      <c r="E9" s="294">
        <f>IF(D9=0,0,(SUBTOTAL(9,M14:M37)/(1-D9))-M9)</f>
        <v>0</v>
      </c>
      <c r="I9" s="169"/>
      <c r="K9" s="25">
        <f>SUBTOTAL(9,K12:K37)</f>
        <v>0</v>
      </c>
      <c r="L9" s="848" t="str">
        <f>IF(O9=0,"-",O9/M9)</f>
        <v>-</v>
      </c>
      <c r="M9" s="25">
        <f>SUBTOTAL(9,M12:M37)</f>
        <v>0</v>
      </c>
      <c r="N9" s="381">
        <f>SUBTOTAL(9,N12:N37)</f>
        <v>0</v>
      </c>
      <c r="O9" s="25">
        <f>SUBTOTAL(9,O12:O37)</f>
        <v>0</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1">
        <f>E14</f>
        <v>0</v>
      </c>
      <c r="F12" s="725">
        <v>0</v>
      </c>
      <c r="G12" s="901">
        <f>E14</f>
        <v>0</v>
      </c>
      <c r="H12" s="172" t="str">
        <f>E12&amp;G12&amp;F12</f>
        <v>000</v>
      </c>
      <c r="I12" s="171">
        <f>IF(F14=0,0,IF(G14=0,0,(F14/(IF(D14="WALL",F14,(F14/2)))*I14)))</f>
        <v>0</v>
      </c>
      <c r="J12" s="173"/>
      <c r="K12" s="123">
        <f>SUBTOTAL(9,K14:K23)</f>
        <v>0</v>
      </c>
      <c r="L12" s="15" t="str">
        <f>IF(K14=0,"-",O12/M12)</f>
        <v>-</v>
      </c>
      <c r="M12" s="123">
        <f>SUBTOTAL(9,M14:M21)</f>
        <v>0</v>
      </c>
      <c r="N12" s="381">
        <f>SUBTOTAL(9,N14:N23)</f>
        <v>0</v>
      </c>
      <c r="O12" s="123">
        <f>SUBTOTAL(9,O14:O23)</f>
        <v>0</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742" t="s">
        <v>662</v>
      </c>
      <c r="D14" s="377" t="s">
        <v>663</v>
      </c>
      <c r="E14" s="378">
        <v>0</v>
      </c>
      <c r="F14" s="782">
        <v>730</v>
      </c>
      <c r="G14" s="782">
        <v>2065</v>
      </c>
      <c r="H14" s="783">
        <v>750</v>
      </c>
      <c r="I14" s="31"/>
      <c r="J14" s="297">
        <v>1673.52</v>
      </c>
      <c r="K14" s="295">
        <f t="shared" ref="K14:K23" si="0">SUM(J14*E14)</f>
        <v>0</v>
      </c>
      <c r="L14" s="784">
        <v>0.5</v>
      </c>
      <c r="M14" s="234">
        <f t="shared" ref="M14:M23" si="1">(K14/(1-L14))*(1+$D$9)</f>
        <v>0</v>
      </c>
      <c r="N14" s="295">
        <f>(M14*VLOOKUP($C$9,'Base Costs'!$A$32:$B$37,2,FALSE))</f>
        <v>0</v>
      </c>
      <c r="O14" s="296">
        <f t="shared" ref="O14:O23" si="2">M14-K14</f>
        <v>0</v>
      </c>
      <c r="U14" s="164"/>
      <c r="AA14" s="152"/>
    </row>
    <row r="15" spans="1:28" ht="15" customHeight="1" x14ac:dyDescent="0.2">
      <c r="A15" s="150">
        <v>104</v>
      </c>
      <c r="C15" s="742" t="s">
        <v>664</v>
      </c>
      <c r="D15" s="377" t="s">
        <v>665</v>
      </c>
      <c r="E15" s="365">
        <v>0</v>
      </c>
      <c r="F15" s="782">
        <v>1330</v>
      </c>
      <c r="G15" s="782">
        <v>2065</v>
      </c>
      <c r="H15" s="783">
        <v>750</v>
      </c>
      <c r="I15" s="31"/>
      <c r="J15" s="297">
        <v>1818.48</v>
      </c>
      <c r="K15" s="295">
        <f t="shared" si="0"/>
        <v>0</v>
      </c>
      <c r="L15" s="784">
        <v>0.5</v>
      </c>
      <c r="M15" s="234">
        <f t="shared" si="1"/>
        <v>0</v>
      </c>
      <c r="N15" s="295">
        <f>(M15*VLOOKUP($C$9,'Base Costs'!$A$32:$B$37,2,FALSE))</f>
        <v>0</v>
      </c>
      <c r="O15" s="296">
        <f t="shared" si="2"/>
        <v>0</v>
      </c>
      <c r="U15" s="164"/>
      <c r="AA15" s="152"/>
    </row>
    <row r="16" spans="1:28" ht="15" customHeight="1" x14ac:dyDescent="0.2">
      <c r="A16" s="150">
        <v>234</v>
      </c>
      <c r="C16" s="205" t="s">
        <v>666</v>
      </c>
      <c r="D16" s="377" t="s">
        <v>667</v>
      </c>
      <c r="E16" s="365">
        <v>0</v>
      </c>
      <c r="F16" s="782">
        <v>1330</v>
      </c>
      <c r="G16" s="782">
        <v>2065</v>
      </c>
      <c r="H16" s="783">
        <v>1050</v>
      </c>
      <c r="I16" s="31"/>
      <c r="J16" s="297">
        <v>2438.69</v>
      </c>
      <c r="K16" s="295">
        <f t="shared" si="0"/>
        <v>0</v>
      </c>
      <c r="L16" s="784">
        <v>0.5</v>
      </c>
      <c r="M16" s="234">
        <f t="shared" si="1"/>
        <v>0</v>
      </c>
      <c r="N16" s="295">
        <f>(M16*VLOOKUP($C$9,'Base Costs'!$A$32:$B$37,2,FALSE))</f>
        <v>0</v>
      </c>
      <c r="O16" s="296">
        <f t="shared" si="2"/>
        <v>0</v>
      </c>
      <c r="U16" s="164"/>
      <c r="AA16" s="152"/>
    </row>
    <row r="17" spans="1:27" ht="15" customHeight="1" x14ac:dyDescent="0.2">
      <c r="C17" s="693" t="s">
        <v>668</v>
      </c>
      <c r="D17" s="377" t="s">
        <v>669</v>
      </c>
      <c r="E17" s="365">
        <v>0</v>
      </c>
      <c r="F17" s="782">
        <v>1330</v>
      </c>
      <c r="G17" s="782">
        <v>2065</v>
      </c>
      <c r="H17" s="783">
        <v>1350</v>
      </c>
      <c r="I17" s="31"/>
      <c r="J17" s="297">
        <v>2583.54</v>
      </c>
      <c r="K17" s="295">
        <f t="shared" si="0"/>
        <v>0</v>
      </c>
      <c r="L17" s="784">
        <v>0.5</v>
      </c>
      <c r="M17" s="234">
        <f t="shared" si="1"/>
        <v>0</v>
      </c>
      <c r="N17" s="295">
        <f>(M17*VLOOKUP($C$9,'Base Costs'!$A$32:$B$37,2,FALSE))</f>
        <v>0</v>
      </c>
      <c r="O17" s="296">
        <f t="shared" si="2"/>
        <v>0</v>
      </c>
      <c r="U17" s="164"/>
      <c r="AA17" s="152"/>
    </row>
    <row r="18" spans="1:27" ht="15" customHeight="1" x14ac:dyDescent="0.2">
      <c r="C18" s="742" t="s">
        <v>670</v>
      </c>
      <c r="D18" s="377" t="s">
        <v>671</v>
      </c>
      <c r="E18" s="365">
        <v>0</v>
      </c>
      <c r="F18" s="724">
        <v>730</v>
      </c>
      <c r="G18" s="782">
        <v>2065</v>
      </c>
      <c r="H18" s="783">
        <v>750</v>
      </c>
      <c r="I18" s="31"/>
      <c r="J18" s="297">
        <v>1673.52</v>
      </c>
      <c r="K18" s="295">
        <f t="shared" si="0"/>
        <v>0</v>
      </c>
      <c r="L18" s="784">
        <v>0.5</v>
      </c>
      <c r="M18" s="234">
        <f t="shared" si="1"/>
        <v>0</v>
      </c>
      <c r="N18" s="295">
        <f>(M18*VLOOKUP($C$9,'Base Costs'!$A$32:$B$37,2,FALSE))</f>
        <v>0</v>
      </c>
      <c r="O18" s="296">
        <f t="shared" si="2"/>
        <v>0</v>
      </c>
      <c r="U18" s="164"/>
      <c r="AA18" s="152"/>
    </row>
    <row r="19" spans="1:27" ht="15" customHeight="1" x14ac:dyDescent="0.2">
      <c r="C19" s="742" t="s">
        <v>672</v>
      </c>
      <c r="D19" s="377" t="s">
        <v>673</v>
      </c>
      <c r="E19" s="365">
        <v>0</v>
      </c>
      <c r="F19" s="782">
        <v>1330</v>
      </c>
      <c r="G19" s="782">
        <v>2065</v>
      </c>
      <c r="H19" s="783">
        <v>750</v>
      </c>
      <c r="I19" s="31"/>
      <c r="J19" s="297">
        <v>1818.48</v>
      </c>
      <c r="K19" s="295">
        <f t="shared" si="0"/>
        <v>0</v>
      </c>
      <c r="L19" s="784">
        <v>0.5</v>
      </c>
      <c r="M19" s="234">
        <f t="shared" si="1"/>
        <v>0</v>
      </c>
      <c r="N19" s="295">
        <f>(M19*VLOOKUP($C$9,'Base Costs'!$A$32:$B$37,2,FALSE))</f>
        <v>0</v>
      </c>
      <c r="O19" s="296">
        <f t="shared" si="2"/>
        <v>0</v>
      </c>
      <c r="U19" s="164"/>
      <c r="AA19" s="152"/>
    </row>
    <row r="20" spans="1:27" ht="15" customHeight="1" x14ac:dyDescent="0.15">
      <c r="C20" s="742" t="s">
        <v>674</v>
      </c>
      <c r="D20" s="377" t="s">
        <v>675</v>
      </c>
      <c r="E20" s="365">
        <v>0</v>
      </c>
      <c r="F20" s="785">
        <v>1930</v>
      </c>
      <c r="G20" s="785">
        <v>2065</v>
      </c>
      <c r="H20" s="786">
        <v>750</v>
      </c>
      <c r="I20" s="31"/>
      <c r="J20" s="297">
        <v>2525.69</v>
      </c>
      <c r="K20" s="295">
        <f t="shared" si="0"/>
        <v>0</v>
      </c>
      <c r="L20" s="784">
        <v>0.5</v>
      </c>
      <c r="M20" s="234">
        <f t="shared" si="1"/>
        <v>0</v>
      </c>
      <c r="N20" s="295">
        <f>(M20*VLOOKUP($C$9,'Base Costs'!$A$32:$B$37,2,FALSE))</f>
        <v>0</v>
      </c>
      <c r="O20" s="296">
        <f t="shared" si="2"/>
        <v>0</v>
      </c>
      <c r="U20" s="164"/>
      <c r="AA20" s="152"/>
    </row>
    <row r="21" spans="1:27" ht="15" customHeight="1" x14ac:dyDescent="0.15">
      <c r="A21" s="150">
        <v>289</v>
      </c>
      <c r="C21" s="742" t="s">
        <v>676</v>
      </c>
      <c r="D21" s="377" t="s">
        <v>677</v>
      </c>
      <c r="E21" s="365">
        <v>0</v>
      </c>
      <c r="F21" s="785">
        <v>2530</v>
      </c>
      <c r="G21" s="785">
        <v>2065</v>
      </c>
      <c r="H21" s="786">
        <v>750</v>
      </c>
      <c r="I21" s="31"/>
      <c r="J21" s="297">
        <v>2666.06</v>
      </c>
      <c r="K21" s="295">
        <f t="shared" si="0"/>
        <v>0</v>
      </c>
      <c r="L21" s="784">
        <v>0.5</v>
      </c>
      <c r="M21" s="234">
        <f t="shared" si="1"/>
        <v>0</v>
      </c>
      <c r="N21" s="295">
        <f>(M21*VLOOKUP($C$9,'Base Costs'!$A$32:$B$37,2,FALSE))</f>
        <v>0</v>
      </c>
      <c r="O21" s="296">
        <f t="shared" si="2"/>
        <v>0</v>
      </c>
      <c r="U21" s="164"/>
      <c r="AA21" s="152"/>
    </row>
    <row r="22" spans="1:27" ht="15" customHeight="1" x14ac:dyDescent="0.15">
      <c r="A22" s="150">
        <v>242</v>
      </c>
      <c r="C22" s="204"/>
      <c r="D22" s="377"/>
      <c r="E22" s="365">
        <v>0</v>
      </c>
      <c r="F22" s="379"/>
      <c r="G22" s="32"/>
      <c r="H22" s="30"/>
      <c r="I22" s="31"/>
      <c r="J22" s="814"/>
      <c r="K22" s="295">
        <f t="shared" si="0"/>
        <v>0</v>
      </c>
      <c r="L22" s="309">
        <v>0.435</v>
      </c>
      <c r="M22" s="234">
        <f t="shared" si="1"/>
        <v>0</v>
      </c>
      <c r="N22" s="295">
        <f>(M22*VLOOKUP($C$9,'Base Costs'!$A$32:$B$37,2,FALSE))</f>
        <v>0</v>
      </c>
      <c r="O22" s="296">
        <f t="shared" si="2"/>
        <v>0</v>
      </c>
      <c r="U22" s="164"/>
      <c r="AA22" s="152"/>
    </row>
    <row r="23" spans="1:27" ht="15" customHeight="1" x14ac:dyDescent="0.15">
      <c r="A23" s="150">
        <v>220</v>
      </c>
      <c r="C23" s="819" t="s">
        <v>678</v>
      </c>
      <c r="D23" s="377" t="s">
        <v>679</v>
      </c>
      <c r="E23" s="365">
        <v>0</v>
      </c>
      <c r="F23" s="379"/>
      <c r="G23" s="32"/>
      <c r="H23" s="30"/>
      <c r="I23" s="31"/>
      <c r="J23" s="769">
        <v>875</v>
      </c>
      <c r="K23" s="295">
        <f t="shared" si="0"/>
        <v>0</v>
      </c>
      <c r="L23" s="309">
        <v>0.35</v>
      </c>
      <c r="M23" s="234">
        <f t="shared" si="1"/>
        <v>0</v>
      </c>
      <c r="N23" s="295">
        <f>(M23*VLOOKUP($C$9,'Base Costs'!$A$32:$B$37,2,FALSE))</f>
        <v>0</v>
      </c>
      <c r="O23" s="296">
        <f t="shared" si="2"/>
        <v>0</v>
      </c>
      <c r="U23" s="164"/>
      <c r="AA23" s="152"/>
    </row>
    <row r="24" spans="1:27" ht="15" customHeight="1" x14ac:dyDescent="0.15">
      <c r="A24" s="150">
        <v>103</v>
      </c>
      <c r="H24" s="34" t="s">
        <v>23</v>
      </c>
      <c r="U24" s="164"/>
      <c r="AA24" s="152"/>
    </row>
    <row r="25" spans="1:27" ht="15" customHeight="1" x14ac:dyDescent="0.15">
      <c r="A25" s="150">
        <v>103</v>
      </c>
      <c r="C25" s="174"/>
      <c r="D25" s="174"/>
      <c r="E25" s="174"/>
      <c r="F25" s="174"/>
      <c r="G25" s="174"/>
      <c r="H25" s="174"/>
      <c r="I25" s="9"/>
      <c r="J25" s="11"/>
      <c r="K25" s="272"/>
      <c r="L25" s="175"/>
      <c r="M25" s="272"/>
      <c r="N25" s="272"/>
      <c r="U25" s="164"/>
      <c r="AA25" s="152"/>
    </row>
    <row r="26" spans="1:27" ht="15" customHeight="1" x14ac:dyDescent="0.15">
      <c r="C26" s="982" t="s">
        <v>88</v>
      </c>
      <c r="D26" s="934"/>
      <c r="E26" s="934"/>
      <c r="F26" s="934"/>
      <c r="G26" s="934"/>
      <c r="H26" s="934"/>
      <c r="I26" s="171"/>
      <c r="J26" s="249"/>
      <c r="K26" s="123">
        <f>SUBTOTAL(9,K27:K37)</f>
        <v>0</v>
      </c>
      <c r="L26" s="15" t="str">
        <f>IF(K26=0,"-",O26/M26)</f>
        <v>-</v>
      </c>
      <c r="M26" s="123">
        <f>SUBTOTAL(9,M27:M37)</f>
        <v>0</v>
      </c>
      <c r="N26" s="381">
        <f>SUBTOTAL(9,N27:N37)</f>
        <v>0</v>
      </c>
      <c r="O26" s="123">
        <f>SUBTOTAL(9,O28:O37)</f>
        <v>0</v>
      </c>
      <c r="U26" s="164"/>
      <c r="AA26" s="152"/>
    </row>
    <row r="27" spans="1:27" ht="15" customHeight="1" x14ac:dyDescent="0.15">
      <c r="A27" s="150">
        <v>285</v>
      </c>
      <c r="C27" s="204" t="s">
        <v>630</v>
      </c>
      <c r="D27" s="177"/>
      <c r="E27" s="677" t="s">
        <v>95</v>
      </c>
      <c r="F27" s="28"/>
      <c r="G27" s="30"/>
      <c r="H27" s="28"/>
      <c r="I27" s="28"/>
      <c r="J27" s="302">
        <f>VLOOKUP(E27,'Base Costs'!E4:G213,2,FALSE)</f>
        <v>0</v>
      </c>
      <c r="K27" s="295">
        <f t="shared" ref="K27:K37" si="3">D27*J27</f>
        <v>0</v>
      </c>
      <c r="L27" s="309">
        <v>0.33</v>
      </c>
      <c r="M27" s="234">
        <f t="shared" ref="M27:M37" si="4">(K27/(1-L27))*(1+$D$9)</f>
        <v>0</v>
      </c>
      <c r="N27" s="295">
        <f>(M27*VLOOKUP($C$9,'Base Costs'!$A$32:$B$37,2,FALSE))</f>
        <v>0</v>
      </c>
      <c r="O27" s="296">
        <f t="shared" ref="O27:O37" si="5">M27-K27</f>
        <v>0</v>
      </c>
      <c r="U27" s="164"/>
      <c r="AA27" s="152"/>
    </row>
    <row r="28" spans="1:27" ht="15" customHeight="1" x14ac:dyDescent="0.15">
      <c r="C28" s="204" t="s">
        <v>463</v>
      </c>
      <c r="D28" s="177"/>
      <c r="E28" s="677" t="s">
        <v>93</v>
      </c>
      <c r="F28" s="994" t="s">
        <v>680</v>
      </c>
      <c r="G28" s="934"/>
      <c r="H28" s="28"/>
      <c r="I28" s="28"/>
      <c r="J28" s="302">
        <f>VLOOKUP(E28,'Base Costs'!$A$4:$B$16,2,FALSE)</f>
        <v>0</v>
      </c>
      <c r="K28" s="295">
        <f t="shared" si="3"/>
        <v>0</v>
      </c>
      <c r="L28" s="309">
        <v>0.33</v>
      </c>
      <c r="M28" s="234">
        <f t="shared" si="4"/>
        <v>0</v>
      </c>
      <c r="N28" s="295">
        <f>(M28*VLOOKUP($C$9,'Base Costs'!$A$32:$B$37,2,FALSE))</f>
        <v>0</v>
      </c>
      <c r="O28" s="296">
        <f t="shared" si="5"/>
        <v>0</v>
      </c>
      <c r="U28" s="164"/>
      <c r="AA28" s="152"/>
    </row>
    <row r="29" spans="1:27" ht="15" customHeight="1" x14ac:dyDescent="0.15">
      <c r="C29" s="204" t="s">
        <v>463</v>
      </c>
      <c r="D29" s="177"/>
      <c r="E29" s="677" t="s">
        <v>93</v>
      </c>
      <c r="F29" s="28"/>
      <c r="G29" s="28"/>
      <c r="H29" s="28"/>
      <c r="I29" s="28"/>
      <c r="J29" s="302">
        <f>VLOOKUP(E29,'Base Costs'!$A$4:$B$16,2,FALSE)</f>
        <v>0</v>
      </c>
      <c r="K29" s="295">
        <f t="shared" si="3"/>
        <v>0</v>
      </c>
      <c r="L29" s="309">
        <v>0.33</v>
      </c>
      <c r="M29" s="234">
        <f t="shared" si="4"/>
        <v>0</v>
      </c>
      <c r="N29" s="295">
        <f>(M29*VLOOKUP($C$9,'Base Costs'!$A$32:$B$37,2,FALSE))</f>
        <v>0</v>
      </c>
      <c r="O29" s="296">
        <f t="shared" si="5"/>
        <v>0</v>
      </c>
      <c r="P29" s="998"/>
      <c r="Q29" s="934"/>
      <c r="U29" s="164"/>
      <c r="AA29" s="152"/>
    </row>
    <row r="30" spans="1:27" ht="15" customHeight="1" x14ac:dyDescent="0.15">
      <c r="C30" s="204" t="s">
        <v>681</v>
      </c>
      <c r="D30" s="177"/>
      <c r="E30" s="28" t="s">
        <v>97</v>
      </c>
      <c r="F30" s="28"/>
      <c r="G30" s="28"/>
      <c r="H30" s="28"/>
      <c r="I30" s="28"/>
      <c r="J30" s="302">
        <v>610</v>
      </c>
      <c r="K30" s="295">
        <f t="shared" si="3"/>
        <v>0</v>
      </c>
      <c r="L30" s="309">
        <v>0.33</v>
      </c>
      <c r="M30" s="234">
        <f t="shared" si="4"/>
        <v>0</v>
      </c>
      <c r="N30" s="295">
        <f>(M30*VLOOKUP($C$9,'Base Costs'!$A$32:$B$37,2,FALSE))</f>
        <v>0</v>
      </c>
      <c r="O30" s="296">
        <f t="shared" si="5"/>
        <v>0</v>
      </c>
      <c r="P30" s="996"/>
      <c r="Q30" s="934"/>
      <c r="R30" s="934"/>
      <c r="U30" s="164"/>
      <c r="AA30" s="152"/>
    </row>
    <row r="31" spans="1:27" ht="15" customHeight="1" x14ac:dyDescent="0.15">
      <c r="A31" s="150">
        <v>286</v>
      </c>
      <c r="C31" s="204" t="s">
        <v>465</v>
      </c>
      <c r="D31" s="177"/>
      <c r="E31" s="28" t="s">
        <v>99</v>
      </c>
      <c r="F31" s="28"/>
      <c r="G31" s="28"/>
      <c r="H31" s="28"/>
      <c r="I31" s="28"/>
      <c r="J31" s="302">
        <v>15</v>
      </c>
      <c r="K31" s="295">
        <f t="shared" si="3"/>
        <v>0</v>
      </c>
      <c r="L31" s="309">
        <v>0.33</v>
      </c>
      <c r="M31" s="234">
        <f t="shared" si="4"/>
        <v>0</v>
      </c>
      <c r="N31" s="295">
        <f>(M31*VLOOKUP($C$9,'Base Costs'!$A$32:$B$37,2,FALSE))</f>
        <v>0</v>
      </c>
      <c r="O31" s="296">
        <f t="shared" si="5"/>
        <v>0</v>
      </c>
      <c r="P31" s="996"/>
      <c r="Q31" s="934"/>
      <c r="R31" s="934"/>
      <c r="U31" s="164"/>
      <c r="AA31" s="152"/>
    </row>
    <row r="32" spans="1:27" ht="15" customHeight="1" x14ac:dyDescent="0.15">
      <c r="C32" s="204" t="s">
        <v>100</v>
      </c>
      <c r="D32" s="177"/>
      <c r="E32" s="28" t="s">
        <v>682</v>
      </c>
      <c r="F32" s="994" t="s">
        <v>683</v>
      </c>
      <c r="G32" s="934"/>
      <c r="H32" s="28"/>
      <c r="I32" s="28"/>
      <c r="J32" s="302">
        <v>610</v>
      </c>
      <c r="K32" s="295">
        <f t="shared" si="3"/>
        <v>0</v>
      </c>
      <c r="L32" s="309">
        <v>0.4</v>
      </c>
      <c r="M32" s="234">
        <f t="shared" si="4"/>
        <v>0</v>
      </c>
      <c r="N32" s="295">
        <f>(M32*VLOOKUP($C$9,'Base Costs'!$A$32:$B$37,2,FALSE))</f>
        <v>0</v>
      </c>
      <c r="O32" s="296">
        <f t="shared" si="5"/>
        <v>0</v>
      </c>
      <c r="U32" s="164"/>
      <c r="AA32" s="152"/>
    </row>
    <row r="33" spans="1:27" ht="15" customHeight="1" x14ac:dyDescent="0.15">
      <c r="C33" s="204" t="s">
        <v>102</v>
      </c>
      <c r="D33" s="177"/>
      <c r="E33" s="28" t="s">
        <v>682</v>
      </c>
      <c r="F33" s="28"/>
      <c r="G33" s="28"/>
      <c r="H33" s="28"/>
      <c r="I33" s="28"/>
      <c r="J33" s="302">
        <v>1220</v>
      </c>
      <c r="K33" s="295">
        <f t="shared" si="3"/>
        <v>0</v>
      </c>
      <c r="L33" s="309">
        <v>0.4</v>
      </c>
      <c r="M33" s="234">
        <f t="shared" si="4"/>
        <v>0</v>
      </c>
      <c r="N33" s="295">
        <f>(M33*VLOOKUP($C$9,'Base Costs'!$A$32:$B$37,2,FALSE))</f>
        <v>0</v>
      </c>
      <c r="O33" s="296">
        <f t="shared" si="5"/>
        <v>0</v>
      </c>
      <c r="U33" s="164"/>
      <c r="AA33" s="152"/>
    </row>
    <row r="34" spans="1:27" ht="15" customHeight="1" x14ac:dyDescent="0.15">
      <c r="C34" s="204" t="s">
        <v>636</v>
      </c>
      <c r="D34" s="177"/>
      <c r="E34" s="28" t="s">
        <v>106</v>
      </c>
      <c r="F34" s="28"/>
      <c r="G34" s="28"/>
      <c r="H34" s="28"/>
      <c r="I34" s="28"/>
      <c r="J34" s="302">
        <v>150</v>
      </c>
      <c r="K34" s="295">
        <f t="shared" si="3"/>
        <v>0</v>
      </c>
      <c r="L34" s="309">
        <v>0.33</v>
      </c>
      <c r="M34" s="234">
        <f t="shared" si="4"/>
        <v>0</v>
      </c>
      <c r="N34" s="295">
        <f>(M34*VLOOKUP($C$9,'Base Costs'!$A$32:$B$37,2,FALSE))</f>
        <v>0</v>
      </c>
      <c r="O34" s="296">
        <f t="shared" si="5"/>
        <v>0</v>
      </c>
    </row>
    <row r="35" spans="1:27" ht="15" customHeight="1" x14ac:dyDescent="0.15">
      <c r="C35" s="204" t="s">
        <v>468</v>
      </c>
      <c r="D35" s="177"/>
      <c r="E35" s="28" t="s">
        <v>106</v>
      </c>
      <c r="F35" s="28"/>
      <c r="G35" s="28"/>
      <c r="H35" s="28"/>
      <c r="I35" s="28"/>
      <c r="J35" s="302">
        <v>220</v>
      </c>
      <c r="K35" s="295">
        <f t="shared" si="3"/>
        <v>0</v>
      </c>
      <c r="L35" s="309">
        <v>0.33</v>
      </c>
      <c r="M35" s="234">
        <f t="shared" si="4"/>
        <v>0</v>
      </c>
      <c r="N35" s="295">
        <f>(M35*VLOOKUP($C$9,'Base Costs'!$A$32:$B$37,2,FALSE))</f>
        <v>0</v>
      </c>
      <c r="O35" s="296">
        <f t="shared" si="5"/>
        <v>0</v>
      </c>
      <c r="U35" s="164"/>
      <c r="AA35" s="152"/>
    </row>
    <row r="36" spans="1:27" ht="15" customHeight="1" x14ac:dyDescent="0.15">
      <c r="C36" s="204" t="s">
        <v>107</v>
      </c>
      <c r="D36" s="177"/>
      <c r="E36" s="28" t="s">
        <v>684</v>
      </c>
      <c r="F36" s="28"/>
      <c r="G36" s="28"/>
      <c r="H36" s="28"/>
      <c r="I36" s="28"/>
      <c r="J36" s="302">
        <v>604</v>
      </c>
      <c r="K36" s="295">
        <f t="shared" si="3"/>
        <v>0</v>
      </c>
      <c r="L36" s="309">
        <v>0.33</v>
      </c>
      <c r="M36" s="234">
        <f t="shared" si="4"/>
        <v>0</v>
      </c>
      <c r="N36" s="295">
        <f>(M36*VLOOKUP($C$9,'Base Costs'!$A$32:$B$37,2,FALSE))</f>
        <v>0</v>
      </c>
      <c r="O36" s="296">
        <f t="shared" si="5"/>
        <v>0</v>
      </c>
      <c r="U36" s="164"/>
    </row>
    <row r="37" spans="1:27" ht="15" customHeight="1" x14ac:dyDescent="0.15">
      <c r="A37" s="150">
        <v>222</v>
      </c>
      <c r="C37" s="204"/>
      <c r="D37" s="177"/>
      <c r="E37" s="28" t="s">
        <v>685</v>
      </c>
      <c r="F37" s="28"/>
      <c r="G37" s="28"/>
      <c r="H37" s="28"/>
      <c r="I37" s="28"/>
      <c r="J37" s="302">
        <v>200</v>
      </c>
      <c r="K37" s="295">
        <f t="shared" si="3"/>
        <v>0</v>
      </c>
      <c r="L37" s="309">
        <v>0.33</v>
      </c>
      <c r="M37" s="234">
        <f t="shared" si="4"/>
        <v>0</v>
      </c>
      <c r="N37" s="295">
        <f>(M37*VLOOKUP($C$9,'Base Costs'!$A$32:$B$37,2,FALSE))</f>
        <v>0</v>
      </c>
      <c r="O37" s="296">
        <f t="shared" si="5"/>
        <v>0</v>
      </c>
      <c r="U37" s="164"/>
    </row>
    <row r="38" spans="1:27" ht="15" customHeight="1" x14ac:dyDescent="0.15">
      <c r="A38" s="150">
        <v>257</v>
      </c>
      <c r="C38" s="174"/>
      <c r="D38" s="174"/>
      <c r="E38" s="174"/>
      <c r="F38" s="174"/>
      <c r="G38" s="174"/>
      <c r="H38" s="178"/>
      <c r="I38" s="179"/>
      <c r="J38" s="273"/>
      <c r="K38" s="272"/>
      <c r="L38" s="274"/>
      <c r="M38" s="272"/>
      <c r="N38" s="272"/>
      <c r="U38" s="164"/>
    </row>
    <row r="39" spans="1:27" ht="15" customHeight="1" x14ac:dyDescent="0.2">
      <c r="C39" s="139" t="s">
        <v>46</v>
      </c>
      <c r="D39" s="140"/>
      <c r="E39" s="141"/>
      <c r="F39" s="141"/>
      <c r="G39" s="140"/>
      <c r="H39" s="142"/>
      <c r="I39" s="140"/>
      <c r="J39" s="140"/>
      <c r="K39" s="140"/>
      <c r="L39" s="140"/>
      <c r="M39" s="140"/>
      <c r="N39" s="140"/>
      <c r="O39" s="140"/>
      <c r="U39" s="164"/>
    </row>
    <row r="40" spans="1:27" ht="15" customHeight="1" x14ac:dyDescent="0.2">
      <c r="C40" s="143"/>
      <c r="D40" s="144"/>
      <c r="E40" s="143"/>
      <c r="F40" s="145"/>
      <c r="G40" s="143"/>
      <c r="H40" s="149"/>
      <c r="I40" s="144"/>
      <c r="J40" s="144"/>
      <c r="K40" s="146"/>
      <c r="L40" s="146"/>
      <c r="M40" s="146"/>
      <c r="N40" s="146"/>
      <c r="O40" s="146"/>
      <c r="U40" s="164"/>
    </row>
    <row r="41" spans="1:27" ht="15" customHeight="1" x14ac:dyDescent="0.2">
      <c r="C41" s="143"/>
      <c r="D41" s="144"/>
      <c r="E41" s="143"/>
      <c r="F41" s="145"/>
      <c r="G41" s="143"/>
      <c r="H41" s="149"/>
      <c r="I41" s="144"/>
      <c r="J41" s="144"/>
      <c r="K41" s="146"/>
      <c r="L41" s="146"/>
      <c r="M41" s="146"/>
      <c r="N41" s="146"/>
      <c r="O41" s="146"/>
      <c r="U41" s="164"/>
    </row>
    <row r="42" spans="1:27" ht="15" customHeight="1" x14ac:dyDescent="0.2">
      <c r="C42" s="143"/>
      <c r="D42" s="144"/>
      <c r="E42" s="143"/>
      <c r="F42" s="145"/>
      <c r="G42" s="143"/>
      <c r="H42" s="149"/>
      <c r="I42" s="144"/>
      <c r="J42" s="144"/>
      <c r="K42" s="149"/>
      <c r="L42" s="149"/>
      <c r="M42" s="149"/>
      <c r="N42" s="149"/>
      <c r="O42" s="149"/>
      <c r="U42" s="164"/>
    </row>
    <row r="43" spans="1:27" ht="15" customHeight="1" x14ac:dyDescent="0.2">
      <c r="C43" s="143"/>
      <c r="D43" s="144"/>
      <c r="E43" s="143"/>
      <c r="F43" s="145"/>
      <c r="G43" s="143"/>
      <c r="H43" s="149"/>
      <c r="I43" s="147"/>
      <c r="J43" s="144"/>
      <c r="K43" s="149"/>
      <c r="L43" s="149"/>
      <c r="M43" s="149"/>
      <c r="N43" s="149"/>
      <c r="O43" s="149"/>
      <c r="U43" s="164"/>
    </row>
    <row r="44" spans="1:27" ht="15" customHeight="1" x14ac:dyDescent="0.2">
      <c r="C44" s="143"/>
      <c r="D44" s="144"/>
      <c r="E44" s="143"/>
      <c r="F44" s="143"/>
      <c r="G44" s="143"/>
      <c r="H44" s="148"/>
      <c r="I44" s="149"/>
      <c r="J44" s="144"/>
      <c r="K44" s="146"/>
      <c r="L44" s="146"/>
      <c r="M44" s="146"/>
      <c r="N44" s="146"/>
      <c r="O44" s="146"/>
      <c r="U44" s="164"/>
    </row>
    <row r="45" spans="1:27" ht="15" customHeight="1" x14ac:dyDescent="0.2">
      <c r="C45" s="143"/>
      <c r="D45" s="143"/>
      <c r="E45" s="143"/>
      <c r="F45" s="143"/>
      <c r="G45" s="143"/>
      <c r="H45" s="148"/>
      <c r="I45" s="149"/>
      <c r="J45" s="144"/>
      <c r="K45" s="146"/>
      <c r="L45" s="146"/>
      <c r="M45" s="146"/>
      <c r="N45" s="146"/>
      <c r="O45" s="146"/>
      <c r="U45" s="164"/>
    </row>
    <row r="46" spans="1:27" ht="15" customHeight="1" x14ac:dyDescent="0.15">
      <c r="J46" s="163"/>
      <c r="M46" s="163"/>
      <c r="O46" s="163"/>
      <c r="U46" s="164"/>
    </row>
    <row r="47" spans="1:27" ht="15" customHeight="1" x14ac:dyDescent="0.15">
      <c r="J47" s="163"/>
      <c r="M47" s="163"/>
      <c r="O47" s="163"/>
      <c r="U47" s="164"/>
    </row>
    <row r="48" spans="1:27" ht="15" customHeight="1" x14ac:dyDescent="0.15">
      <c r="H48" s="154"/>
      <c r="U48" s="164"/>
    </row>
    <row r="49" spans="3:21" ht="15" customHeight="1" x14ac:dyDescent="0.15">
      <c r="H49" s="154"/>
      <c r="U49" s="164"/>
    </row>
    <row r="50" spans="3:21" ht="15" customHeight="1" x14ac:dyDescent="0.15">
      <c r="H50" s="154"/>
      <c r="U50" s="164"/>
    </row>
    <row r="51" spans="3:21" ht="15" customHeight="1" x14ac:dyDescent="0.15">
      <c r="H51" s="154"/>
      <c r="U51" s="164"/>
    </row>
    <row r="52" spans="3:21" ht="15" customHeight="1" x14ac:dyDescent="0.15">
      <c r="H52" s="154"/>
      <c r="U52" s="164"/>
    </row>
    <row r="53" spans="3:21" ht="15" customHeight="1" x14ac:dyDescent="0.15">
      <c r="H53" s="154"/>
      <c r="U53" s="164"/>
    </row>
    <row r="54" spans="3:21" ht="15" customHeight="1" x14ac:dyDescent="0.15">
      <c r="H54" s="154"/>
      <c r="U54" s="164"/>
    </row>
    <row r="55" spans="3:21" ht="15" customHeight="1" x14ac:dyDescent="0.15">
      <c r="H55" s="154"/>
      <c r="U55" s="164"/>
    </row>
    <row r="56" spans="3:21" ht="15" customHeight="1" x14ac:dyDescent="0.15">
      <c r="H56" s="154"/>
      <c r="U56" s="164"/>
    </row>
    <row r="57" spans="3:21" ht="15" customHeight="1" x14ac:dyDescent="0.15">
      <c r="C57" s="180"/>
      <c r="D57" s="180"/>
      <c r="E57" s="180"/>
      <c r="F57" s="180"/>
      <c r="G57" s="180"/>
      <c r="H57" s="180"/>
      <c r="U57" s="164"/>
    </row>
    <row r="58" spans="3:21" ht="15" customHeight="1" x14ac:dyDescent="0.15">
      <c r="U58" s="164"/>
    </row>
    <row r="59" spans="3:21" ht="15" customHeight="1" x14ac:dyDescent="0.15">
      <c r="U59" s="164"/>
    </row>
    <row r="60" spans="3:21" ht="15" customHeight="1" x14ac:dyDescent="0.15">
      <c r="U60" s="164"/>
    </row>
    <row r="61" spans="3:21" ht="15" customHeight="1" x14ac:dyDescent="0.15">
      <c r="U61" s="164"/>
    </row>
    <row r="62" spans="3:21" ht="15" customHeight="1" x14ac:dyDescent="0.15">
      <c r="U62" s="164"/>
    </row>
    <row r="63" spans="3:21" ht="15" customHeight="1" x14ac:dyDescent="0.15">
      <c r="U63" s="164"/>
    </row>
    <row r="64" spans="3:21" ht="15" customHeight="1" x14ac:dyDescent="0.15">
      <c r="U64" s="164"/>
    </row>
    <row r="65" spans="21:21" ht="15" customHeight="1" x14ac:dyDescent="0.15">
      <c r="U65" s="164"/>
    </row>
    <row r="66" spans="21:21" ht="15" customHeight="1" x14ac:dyDescent="0.15">
      <c r="U66" s="164"/>
    </row>
    <row r="67" spans="21:21" ht="15" customHeight="1" x14ac:dyDescent="0.15">
      <c r="U67" s="164"/>
    </row>
    <row r="68" spans="21:21" ht="15" customHeight="1" x14ac:dyDescent="0.15">
      <c r="U68" s="164"/>
    </row>
    <row r="69" spans="21:21" ht="15" customHeight="1" x14ac:dyDescent="0.15">
      <c r="U69" s="164"/>
    </row>
    <row r="70" spans="21:21" ht="15" customHeight="1" x14ac:dyDescent="0.15">
      <c r="U70" s="164"/>
    </row>
    <row r="71" spans="21:21" ht="15" customHeight="1" x14ac:dyDescent="0.15">
      <c r="U71" s="164"/>
    </row>
    <row r="72" spans="21:21" ht="15" customHeight="1" x14ac:dyDescent="0.15">
      <c r="U72" s="164"/>
    </row>
    <row r="73" spans="21:21" ht="15" customHeight="1" x14ac:dyDescent="0.15">
      <c r="U73" s="164"/>
    </row>
    <row r="74" spans="21:21" ht="15" customHeight="1" x14ac:dyDescent="0.15">
      <c r="U74" s="164"/>
    </row>
    <row r="75" spans="21:21" ht="15" customHeight="1" x14ac:dyDescent="0.15">
      <c r="U75" s="164"/>
    </row>
    <row r="76" spans="21:21" ht="15" customHeight="1" x14ac:dyDescent="0.15">
      <c r="U76" s="164"/>
    </row>
    <row r="77" spans="21:21" ht="15" customHeight="1" x14ac:dyDescent="0.15">
      <c r="U77" s="164"/>
    </row>
    <row r="78" spans="21:21" ht="15" customHeight="1" x14ac:dyDescent="0.15">
      <c r="U78" s="164"/>
    </row>
    <row r="79" spans="21:21" ht="15" customHeight="1" x14ac:dyDescent="0.15">
      <c r="U79" s="164"/>
    </row>
    <row r="80" spans="21: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1" spans="21:21" ht="15" customHeight="1" x14ac:dyDescent="0.15">
      <c r="U121"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sheetData>
  <mergeCells count="14">
    <mergeCell ref="C1:D1"/>
    <mergeCell ref="H5:J5"/>
    <mergeCell ref="D5:E5"/>
    <mergeCell ref="F28:G28"/>
    <mergeCell ref="P31:R31"/>
    <mergeCell ref="P30:R30"/>
    <mergeCell ref="P7:R7"/>
    <mergeCell ref="P29:Q29"/>
    <mergeCell ref="F32:G32"/>
    <mergeCell ref="C26:H26"/>
    <mergeCell ref="H3:J3"/>
    <mergeCell ref="D3:E3"/>
    <mergeCell ref="H7:J7"/>
    <mergeCell ref="D7:E7"/>
  </mergeCells>
  <conditionalFormatting sqref="C9">
    <cfRule type="expression" dxfId="139" priority="27">
      <formula>C9="CURRENCY"</formula>
    </cfRule>
    <cfRule type="containsText" dxfId="138" priority="26" operator="containsText" text="SELECT">
      <formula>NOT(ISERROR(SEARCH("SELECT",C9)))</formula>
    </cfRule>
  </conditionalFormatting>
  <conditionalFormatting sqref="C14:C23">
    <cfRule type="expression" dxfId="137" priority="1">
      <formula>$J14&gt;0</formula>
    </cfRule>
  </conditionalFormatting>
  <conditionalFormatting sqref="C27:C37">
    <cfRule type="expression" dxfId="136" priority="10">
      <formula>$D27&gt;0</formula>
    </cfRule>
  </conditionalFormatting>
  <conditionalFormatting sqref="D27:D28 D30:D37">
    <cfRule type="cellIs" dxfId="135" priority="28" operator="lessThan">
      <formula>1</formula>
    </cfRule>
  </conditionalFormatting>
  <conditionalFormatting sqref="D29">
    <cfRule type="cellIs" dxfId="134" priority="23" operator="lessThan">
      <formula>1</formula>
    </cfRule>
  </conditionalFormatting>
  <conditionalFormatting sqref="D9:E9">
    <cfRule type="cellIs" dxfId="133" priority="24" operator="lessThan">
      <formula>0</formula>
    </cfRule>
    <cfRule type="cellIs" dxfId="132" priority="25" operator="greaterThan">
      <formula>0</formula>
    </cfRule>
  </conditionalFormatting>
  <conditionalFormatting sqref="F12">
    <cfRule type="cellIs" dxfId="131" priority="38" operator="greaterThan">
      <formula>2000</formula>
    </cfRule>
    <cfRule type="expression" dxfId="130" priority="37">
      <formula>ISNUMBER(SEARCH("I-MUAP",#REF!))</formula>
    </cfRule>
    <cfRule type="expression" dxfId="129" priority="36">
      <formula>AND((ISNUMBER(SEARCH("I-MUAP",#REF!))),F12&lt;2500)</formula>
    </cfRule>
  </conditionalFormatting>
  <conditionalFormatting sqref="F12:G12">
    <cfRule type="cellIs" dxfId="128" priority="29" operator="lessThan">
      <formula>1000</formula>
    </cfRule>
  </conditionalFormatting>
  <conditionalFormatting sqref="F14:G19">
    <cfRule type="cellIs" dxfId="127" priority="3" operator="lessThan">
      <formula>1000</formula>
    </cfRule>
  </conditionalFormatting>
  <conditionalFormatting sqref="G12">
    <cfRule type="cellIs" dxfId="126" priority="30" operator="greaterThan">
      <formula>3001</formula>
    </cfRule>
  </conditionalFormatting>
  <conditionalFormatting sqref="H11">
    <cfRule type="expression" dxfId="125" priority="39">
      <formula>((#REF!-50)/#REF!)&lt;950</formula>
    </cfRule>
  </conditionalFormatting>
  <conditionalFormatting sqref="H12">
    <cfRule type="expression" dxfId="124" priority="40">
      <formula>((#REF!-50)/#REF!)&lt;950</formula>
    </cfRule>
  </conditionalFormatting>
  <conditionalFormatting sqref="H14:H19">
    <cfRule type="cellIs" dxfId="123" priority="4" operator="lessThan">
      <formula>400</formula>
    </cfRule>
  </conditionalFormatting>
  <conditionalFormatting sqref="H24">
    <cfRule type="expression" dxfId="122" priority="35">
      <formula>((#REF!-50)/#REF!)&lt;950</formula>
    </cfRule>
  </conditionalFormatting>
  <conditionalFormatting sqref="J14:J21">
    <cfRule type="cellIs" dxfId="121" priority="15" operator="greaterThan">
      <formula>0</formula>
    </cfRule>
  </conditionalFormatting>
  <conditionalFormatting sqref="J27:J37">
    <cfRule type="expression" dxfId="120" priority="16">
      <formula>D27&gt;0</formula>
    </cfRule>
  </conditionalFormatting>
  <conditionalFormatting sqref="J39:J45">
    <cfRule type="expression" dxfId="119" priority="70">
      <formula>#REF!="EURO"</formula>
    </cfRule>
  </conditionalFormatting>
  <conditionalFormatting sqref="K14:K23 N14:O23">
    <cfRule type="cellIs" dxfId="118" priority="2" operator="greaterThan">
      <formula>0</formula>
    </cfRule>
  </conditionalFormatting>
  <conditionalFormatting sqref="K27:K37">
    <cfRule type="cellIs" dxfId="117" priority="22" operator="greaterThan">
      <formula>0</formula>
    </cfRule>
  </conditionalFormatting>
  <conditionalFormatting sqref="K39:K45">
    <cfRule type="expression" dxfId="116" priority="66">
      <formula>$C$9="PLN"</formula>
    </cfRule>
    <cfRule type="expression" dxfId="115" priority="67">
      <formula>$C$9="CZK"</formula>
    </cfRule>
    <cfRule type="expression" dxfId="114" priority="68">
      <formula>$C$9="USD"</formula>
    </cfRule>
    <cfRule type="expression" dxfId="113" priority="69">
      <formula>$C$9="EURO"</formula>
    </cfRule>
  </conditionalFormatting>
  <conditionalFormatting sqref="L14:L23">
    <cfRule type="expression" dxfId="112" priority="14">
      <formula>$D$9&gt;0</formula>
    </cfRule>
    <cfRule type="expression" dxfId="111" priority="13">
      <formula>$D$9&lt;0</formula>
    </cfRule>
  </conditionalFormatting>
  <conditionalFormatting sqref="L27:L37">
    <cfRule type="expression" dxfId="110" priority="12">
      <formula>$D$9&gt;0</formula>
    </cfRule>
    <cfRule type="expression" dxfId="109" priority="11">
      <formula>$D$9&lt;0</formula>
    </cfRule>
  </conditionalFormatting>
  <conditionalFormatting sqref="N9 N12">
    <cfRule type="expression" dxfId="108" priority="31">
      <formula>$C$9="PLN"</formula>
    </cfRule>
    <cfRule type="expression" dxfId="107" priority="32">
      <formula>$C$9="CZK"</formula>
    </cfRule>
    <cfRule type="expression" dxfId="106" priority="33">
      <formula>$C$9="USD"</formula>
    </cfRule>
    <cfRule type="expression" dxfId="105" priority="34">
      <formula>$C$9="EURO"</formula>
    </cfRule>
  </conditionalFormatting>
  <conditionalFormatting sqref="N14:N23">
    <cfRule type="expression" dxfId="104" priority="20">
      <formula>$C$9="EURO"</formula>
    </cfRule>
    <cfRule type="expression" dxfId="103" priority="19">
      <formula>$C$9="USD"</formula>
    </cfRule>
    <cfRule type="expression" dxfId="102" priority="18">
      <formula>$C$9="CZK"</formula>
    </cfRule>
    <cfRule type="expression" dxfId="101" priority="17">
      <formula>$C$9="PLN"</formula>
    </cfRule>
  </conditionalFormatting>
  <conditionalFormatting sqref="N26:N37">
    <cfRule type="expression" dxfId="100" priority="6">
      <formula>$C$9="PLN"</formula>
    </cfRule>
    <cfRule type="expression" dxfId="99" priority="7">
      <formula>$C$9="CZK"</formula>
    </cfRule>
    <cfRule type="expression" dxfId="98" priority="9">
      <formula>$C$9="EURO"</formula>
    </cfRule>
    <cfRule type="expression" dxfId="97" priority="8">
      <formula>$C$9="USD"</formula>
    </cfRule>
  </conditionalFormatting>
  <conditionalFormatting sqref="N27:O37">
    <cfRule type="cellIs" dxfId="96" priority="5" operator="greaterThan">
      <formula>0</formula>
    </cfRule>
  </conditionalFormatting>
  <dataValidations count="3">
    <dataValidation operator="greaterThan" allowBlank="1" showInputMessage="1" showErrorMessage="1" sqref="F14:F19" xr:uid="{00000000-0002-0000-A600-000000000000}"/>
    <dataValidation type="list" allowBlank="1" showInputMessage="1" showErrorMessage="1" sqref="E14:E23" xr:uid="{00000000-0002-0000-A600-000001000000}">
      <formula1>"0,1,2,3,4,5,6,7,8,9,10,11,12,13,14,15,16,17,18,19,20"</formula1>
    </dataValidation>
    <dataValidation type="list" allowBlank="1" showInputMessage="1" showErrorMessage="1" sqref="H25" xr:uid="{00000000-0002-0000-A6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sheetPr>
    <tabColor theme="8" tint="0.79998168889431442"/>
    <pageSetUpPr fitToPage="1"/>
  </sheetPr>
  <dimension ref="A1:AD159"/>
  <sheetViews>
    <sheetView showGridLines="0" zoomScale="80" zoomScaleNormal="80" zoomScaleSheetLayoutView="50" workbookViewId="0">
      <selection activeCell="G187" sqref="G187"/>
    </sheetView>
  </sheetViews>
  <sheetFormatPr baseColWidth="10" defaultColWidth="8.83203125" defaultRowHeight="15" customHeight="1" x14ac:dyDescent="0.15"/>
  <cols>
    <col min="1" max="2" width="2" style="150" customWidth="1"/>
    <col min="3" max="3" width="32.33203125" style="152" customWidth="1"/>
    <col min="4" max="4" width="39.83203125" style="152" customWidth="1"/>
    <col min="5" max="5" width="27.1640625" style="152" customWidth="1"/>
    <col min="6" max="6" width="26.6640625" style="152" customWidth="1"/>
    <col min="7" max="7" width="18.83203125" style="152" customWidth="1"/>
    <col min="8" max="8" width="25" style="152" bestFit="1" customWidth="1"/>
    <col min="9" max="9" width="10" style="168" bestFit="1" customWidth="1"/>
    <col min="10" max="10" width="14.83203125" style="267" bestFit="1" customWidth="1"/>
    <col min="11" max="11" width="17.5" style="163" customWidth="1"/>
    <col min="12" max="12" width="7.6640625" style="163" bestFit="1" customWidth="1"/>
    <col min="13" max="13" width="15.5" style="265" hidden="1" customWidth="1"/>
    <col min="14" max="14" width="14.5" style="267" bestFit="1" customWidth="1"/>
    <col min="15" max="15" width="13.6640625" style="14" bestFit="1" customWidth="1"/>
    <col min="16" max="16" width="15.6640625" style="152" customWidth="1"/>
    <col min="17" max="17" width="8.83203125" style="152" customWidth="1"/>
    <col min="18" max="18" width="18.6640625" style="152" customWidth="1"/>
    <col min="19" max="26" width="8.83203125" style="152" customWidth="1"/>
    <col min="27" max="27" width="8.83203125" style="154" customWidth="1"/>
    <col min="28" max="29" width="8.83203125" style="152" customWidth="1"/>
    <col min="30" max="30" width="8.83203125" style="155" customWidth="1"/>
    <col min="31" max="100" width="8.83203125" style="152" customWidth="1"/>
    <col min="101" max="16384" width="8.83203125" style="152"/>
  </cols>
  <sheetData>
    <row r="1" spans="1:28" ht="15" customHeight="1" x14ac:dyDescent="0.15">
      <c r="C1" s="988" t="s">
        <v>686</v>
      </c>
      <c r="D1" s="934"/>
      <c r="E1" s="151"/>
      <c r="F1" s="151"/>
      <c r="G1" s="151"/>
      <c r="H1" s="151"/>
      <c r="I1" s="29"/>
      <c r="J1" s="255"/>
      <c r="K1" s="256"/>
      <c r="L1" s="257"/>
      <c r="M1" s="258"/>
      <c r="N1" s="255"/>
      <c r="O1" s="853" t="s">
        <v>48</v>
      </c>
      <c r="S1" s="75"/>
      <c r="T1" s="153"/>
    </row>
    <row r="2" spans="1:28" ht="15" customHeight="1" x14ac:dyDescent="0.15">
      <c r="C2" s="74"/>
      <c r="D2" s="156"/>
      <c r="E2" s="156"/>
      <c r="G2" s="74"/>
      <c r="H2" s="72"/>
      <c r="I2" s="157"/>
      <c r="J2" s="259"/>
      <c r="K2" s="260"/>
      <c r="L2" s="261"/>
      <c r="M2" s="262"/>
      <c r="N2" s="263"/>
      <c r="T2" s="160"/>
      <c r="Y2" s="161"/>
    </row>
    <row r="3" spans="1:28" ht="15" customHeight="1" x14ac:dyDescent="0.15">
      <c r="C3" s="73" t="s">
        <v>2</v>
      </c>
      <c r="D3" s="995" t="e">
        <f>IF([17]CANOPY!C3="","",[17]CANOPY!C3)</f>
        <v>#REF!</v>
      </c>
      <c r="E3" s="934"/>
      <c r="G3" s="71" t="s">
        <v>4</v>
      </c>
      <c r="H3" s="935" t="e">
        <f>IF([17]CANOPY!G3="","",[17]CANOPY!G3)</f>
        <v>#REF!</v>
      </c>
      <c r="I3" s="936"/>
      <c r="J3" s="937"/>
      <c r="L3" s="261"/>
      <c r="M3" s="262"/>
      <c r="N3" s="263"/>
      <c r="T3" s="160"/>
    </row>
    <row r="4" spans="1:28" ht="15" customHeight="1" x14ac:dyDescent="0.15">
      <c r="C4" s="74"/>
      <c r="D4" s="158"/>
      <c r="E4" s="158"/>
      <c r="G4" s="72"/>
      <c r="H4" s="157"/>
      <c r="I4" s="162"/>
      <c r="J4" s="260"/>
      <c r="L4" s="261"/>
      <c r="M4" s="262"/>
      <c r="N4" s="263"/>
      <c r="T4" s="160"/>
    </row>
    <row r="5" spans="1:28" ht="15" customHeight="1" x14ac:dyDescent="0.15">
      <c r="C5" s="73" t="s">
        <v>6</v>
      </c>
      <c r="D5" s="938" t="e">
        <f>IF([17]CANOPY!C5="","",[17]CANOPY!C5)</f>
        <v>#REF!</v>
      </c>
      <c r="E5" s="934"/>
      <c r="G5" s="71" t="s">
        <v>8</v>
      </c>
      <c r="H5" s="935" t="e">
        <f>IF([17]CANOPY!G5="","",[17]CANOPY!G5)</f>
        <v>#REF!</v>
      </c>
      <c r="I5" s="936"/>
      <c r="J5" s="937"/>
      <c r="M5" s="262"/>
      <c r="N5" s="263"/>
      <c r="Q5" s="164"/>
      <c r="R5" s="164"/>
      <c r="T5" s="160"/>
      <c r="U5" s="161"/>
    </row>
    <row r="6" spans="1:28" ht="15" customHeight="1" x14ac:dyDescent="0.15">
      <c r="C6" s="73"/>
      <c r="D6" s="165"/>
      <c r="E6" s="165"/>
      <c r="G6" s="71"/>
      <c r="H6" s="157"/>
      <c r="I6" s="74"/>
      <c r="J6" s="264"/>
      <c r="L6" s="261"/>
      <c r="M6" s="262"/>
      <c r="N6" s="263"/>
      <c r="Q6" s="164"/>
      <c r="R6" s="164"/>
      <c r="T6" s="160"/>
      <c r="U6" s="161"/>
      <c r="AA6" s="166"/>
    </row>
    <row r="7" spans="1:28" ht="15" customHeight="1" x14ac:dyDescent="0.15">
      <c r="C7" s="75" t="s">
        <v>10</v>
      </c>
      <c r="D7" s="938" t="e">
        <f>IF([17]CANOPY!C7="","",[17]CANOPY!C7)</f>
        <v>#REF!</v>
      </c>
      <c r="E7" s="934"/>
      <c r="G7" s="71" t="s">
        <v>12</v>
      </c>
      <c r="H7" s="939" t="e">
        <f>IF([17]CANOPY!G7="","",[17]CANOPY!G7)</f>
        <v>#REF!</v>
      </c>
      <c r="I7" s="936"/>
      <c r="J7" s="937"/>
      <c r="N7" s="266" t="s">
        <v>14</v>
      </c>
      <c r="O7" s="787" t="e">
        <f>IF([17]CANOPY!O7="","",[17]CANOPY!O7)</f>
        <v>#REF!</v>
      </c>
      <c r="P7" s="964" t="s">
        <v>51</v>
      </c>
      <c r="Q7" s="934"/>
      <c r="R7" s="934"/>
      <c r="T7" s="160"/>
      <c r="U7" s="161"/>
      <c r="AA7" s="166"/>
    </row>
    <row r="8" spans="1:28" ht="15" customHeight="1" x14ac:dyDescent="0.15">
      <c r="E8" s="154"/>
      <c r="F8" s="154"/>
      <c r="H8" s="154"/>
      <c r="J8" s="265"/>
      <c r="K8" s="14"/>
      <c r="T8" s="160"/>
      <c r="AA8" s="166"/>
    </row>
    <row r="9" spans="1:28" s="75" customFormat="1" ht="15" customHeight="1" x14ac:dyDescent="0.15">
      <c r="A9" s="150"/>
      <c r="B9" s="150"/>
      <c r="C9" s="38" t="s">
        <v>15</v>
      </c>
      <c r="D9" s="829">
        <v>0</v>
      </c>
      <c r="E9" s="294">
        <f>IF(D9=0,0,(SUBTOTAL(9,M14:M46)/(1-D9))-M9)</f>
        <v>0</v>
      </c>
      <c r="I9" s="169"/>
      <c r="K9" s="25">
        <f>SUBTOTAL(9,K12:K46)</f>
        <v>50</v>
      </c>
      <c r="L9" s="845">
        <f>IF(O9=0,"-",O9/M9)</f>
        <v>0.43999999999999995</v>
      </c>
      <c r="M9" s="25">
        <f>SUBTOTAL(9,M12:M46)</f>
        <v>89.285714285714278</v>
      </c>
      <c r="N9" s="381">
        <f>SUBTOTAL(9,N12:N46)</f>
        <v>89.285714285714278</v>
      </c>
      <c r="O9" s="25">
        <f>SUBTOTAL(9,O12:O46)</f>
        <v>39.285714285714278</v>
      </c>
      <c r="P9" s="152"/>
      <c r="Q9" s="152"/>
      <c r="R9" s="152"/>
      <c r="S9" s="152"/>
      <c r="T9" s="152"/>
      <c r="U9" s="152"/>
      <c r="V9" s="152"/>
      <c r="Z9" s="152"/>
      <c r="AA9" s="152"/>
      <c r="AB9" s="152"/>
    </row>
    <row r="10" spans="1:28" s="75" customFormat="1" ht="15" customHeight="1" x14ac:dyDescent="0.15">
      <c r="A10" s="150"/>
      <c r="B10" s="150"/>
      <c r="C10" s="6" t="s">
        <v>15</v>
      </c>
      <c r="D10" s="6" t="s">
        <v>16</v>
      </c>
      <c r="E10" s="6" t="s">
        <v>17</v>
      </c>
      <c r="F10" s="6"/>
      <c r="G10" s="6"/>
      <c r="H10" s="6"/>
      <c r="I10" s="6"/>
      <c r="J10" s="1" t="s">
        <v>52</v>
      </c>
      <c r="K10" s="2" t="s">
        <v>18</v>
      </c>
      <c r="L10" s="3" t="s">
        <v>19</v>
      </c>
      <c r="M10" s="4" t="s">
        <v>20</v>
      </c>
      <c r="N10" s="1" t="s">
        <v>21</v>
      </c>
      <c r="O10" s="5" t="s">
        <v>22</v>
      </c>
      <c r="P10" s="152"/>
      <c r="Q10" s="152"/>
      <c r="R10" s="152"/>
      <c r="S10" s="152"/>
      <c r="T10" s="152"/>
      <c r="U10" s="170"/>
      <c r="V10" s="152"/>
      <c r="Z10" s="152"/>
      <c r="AA10" s="152"/>
      <c r="AB10" s="152"/>
    </row>
    <row r="11" spans="1:28" s="75" customFormat="1" ht="15" customHeight="1" x14ac:dyDescent="0.15">
      <c r="A11" s="150"/>
      <c r="B11" s="150"/>
      <c r="C11" s="9"/>
      <c r="D11" s="9"/>
      <c r="E11" s="9"/>
      <c r="F11" s="9"/>
      <c r="G11" s="9"/>
      <c r="H11" s="34" t="s">
        <v>23</v>
      </c>
      <c r="I11" s="9"/>
      <c r="J11" s="11"/>
      <c r="K11" s="8"/>
      <c r="L11" s="12"/>
      <c r="M11" s="13"/>
      <c r="N11" s="11"/>
      <c r="O11" s="14"/>
      <c r="P11" s="152"/>
      <c r="Q11" s="152"/>
      <c r="R11" s="152"/>
      <c r="S11" s="152"/>
      <c r="T11" s="152"/>
      <c r="U11" s="170"/>
      <c r="V11" s="152"/>
      <c r="Z11" s="152"/>
      <c r="AA11" s="152"/>
      <c r="AB11" s="152"/>
    </row>
    <row r="12" spans="1:28" s="75" customFormat="1" ht="15" customHeight="1" x14ac:dyDescent="0.15">
      <c r="A12" s="150"/>
      <c r="B12" s="150"/>
      <c r="C12" s="176" t="s">
        <v>86</v>
      </c>
      <c r="D12" s="171"/>
      <c r="E12" s="172">
        <f>E14</f>
        <v>0</v>
      </c>
      <c r="F12" s="725">
        <v>0</v>
      </c>
      <c r="G12" s="725">
        <f>IF(I12&lt;1,0,CEILING((G14-100)/I14,250))</f>
        <v>0</v>
      </c>
      <c r="H12" s="172" t="str">
        <f>E12&amp;G12&amp;F12</f>
        <v>000</v>
      </c>
      <c r="I12" s="171">
        <f>IF(F14=0,0,IF(G14=0,0,(F14/(IF(D14="WALL",F14,(F14/2)))*I14)))</f>
        <v>0</v>
      </c>
      <c r="J12" s="173"/>
      <c r="K12" s="123">
        <f>SUBTOTAL(9,K14:K32)</f>
        <v>50</v>
      </c>
      <c r="L12" s="15" t="str">
        <f>IF(K14=0,"-",O12/M12)</f>
        <v>-</v>
      </c>
      <c r="M12" s="123">
        <f>SUBTOTAL(9,M14:M30)</f>
        <v>0</v>
      </c>
      <c r="N12" s="381">
        <f>SUBTOTAL(9,N14:N32)</f>
        <v>89.285714285714278</v>
      </c>
      <c r="O12" s="123">
        <f>SUBTOTAL(9,O14:O32)</f>
        <v>39.285714285714278</v>
      </c>
      <c r="P12" s="152"/>
      <c r="Q12" s="152"/>
      <c r="R12" s="152"/>
      <c r="S12" s="152"/>
      <c r="T12" s="152"/>
      <c r="U12" s="170"/>
      <c r="V12" s="152"/>
      <c r="Z12" s="152"/>
      <c r="AA12" s="152"/>
      <c r="AB12" s="152"/>
    </row>
    <row r="13" spans="1:28" ht="15" customHeight="1" x14ac:dyDescent="0.15">
      <c r="C13" s="7"/>
      <c r="D13" s="10" t="s">
        <v>54</v>
      </c>
      <c r="E13" s="27" t="s">
        <v>661</v>
      </c>
      <c r="F13" s="10" t="s">
        <v>56</v>
      </c>
      <c r="G13" s="10" t="s">
        <v>57</v>
      </c>
      <c r="H13" s="10" t="s">
        <v>58</v>
      </c>
      <c r="I13" s="10" t="s">
        <v>59</v>
      </c>
      <c r="J13" s="268"/>
      <c r="K13" s="269"/>
      <c r="L13" s="269"/>
      <c r="M13" s="270"/>
      <c r="N13" s="271"/>
      <c r="O13" s="5"/>
      <c r="U13" s="164"/>
      <c r="AA13" s="152"/>
    </row>
    <row r="14" spans="1:28" ht="15" customHeight="1" x14ac:dyDescent="0.2">
      <c r="A14" s="150">
        <v>210</v>
      </c>
      <c r="C14" s="204" t="s">
        <v>687</v>
      </c>
      <c r="D14" s="377" t="s">
        <v>688</v>
      </c>
      <c r="E14" s="365">
        <v>0</v>
      </c>
      <c r="F14" s="724">
        <v>800</v>
      </c>
      <c r="G14" s="722">
        <v>1400</v>
      </c>
      <c r="H14" s="723">
        <v>500</v>
      </c>
      <c r="I14" s="31"/>
      <c r="J14" s="297">
        <v>2055</v>
      </c>
      <c r="K14" s="295">
        <f t="shared" ref="K14:K32" si="0">SUM(J14*E14)</f>
        <v>0</v>
      </c>
      <c r="L14" s="309">
        <v>0.435</v>
      </c>
      <c r="M14" s="234">
        <f t="shared" ref="M14:M32" si="1">(K14/(1-L14))*(1+$D$9)</f>
        <v>0</v>
      </c>
      <c r="N14" s="295">
        <f>(M14*VLOOKUP($C$9,'Base Costs'!$A$32:$B$37,2,FALSE))</f>
        <v>0</v>
      </c>
      <c r="O14" s="296">
        <f t="shared" ref="O14:O32" si="2">M14-K14</f>
        <v>0</v>
      </c>
      <c r="U14" s="164"/>
      <c r="AA14" s="152"/>
    </row>
    <row r="15" spans="1:28" ht="15" customHeight="1" x14ac:dyDescent="0.2">
      <c r="A15" s="150">
        <v>104</v>
      </c>
      <c r="C15" s="204" t="s">
        <v>689</v>
      </c>
      <c r="D15" s="377" t="s">
        <v>690</v>
      </c>
      <c r="E15" s="365">
        <v>0</v>
      </c>
      <c r="F15" s="724">
        <v>800</v>
      </c>
      <c r="G15" s="722">
        <v>1400</v>
      </c>
      <c r="H15" s="723">
        <v>500</v>
      </c>
      <c r="I15" s="31"/>
      <c r="J15" s="297">
        <v>2188</v>
      </c>
      <c r="K15" s="295">
        <f t="shared" si="0"/>
        <v>0</v>
      </c>
      <c r="L15" s="309">
        <v>0.435</v>
      </c>
      <c r="M15" s="234">
        <f t="shared" si="1"/>
        <v>0</v>
      </c>
      <c r="N15" s="295">
        <f>(M15*VLOOKUP($C$9,'Base Costs'!$A$32:$B$37,2,FALSE))</f>
        <v>0</v>
      </c>
      <c r="O15" s="296">
        <f t="shared" si="2"/>
        <v>0</v>
      </c>
      <c r="U15" s="164"/>
      <c r="AA15" s="152"/>
    </row>
    <row r="16" spans="1:28" ht="15" customHeight="1" x14ac:dyDescent="0.2">
      <c r="A16" s="150">
        <v>234</v>
      </c>
      <c r="C16" s="204" t="s">
        <v>691</v>
      </c>
      <c r="D16" s="377" t="s">
        <v>692</v>
      </c>
      <c r="E16" s="378">
        <v>0</v>
      </c>
      <c r="F16" s="724">
        <v>800</v>
      </c>
      <c r="G16" s="722">
        <v>1400</v>
      </c>
      <c r="H16" s="723">
        <v>500</v>
      </c>
      <c r="I16" s="31"/>
      <c r="J16" s="297">
        <v>2304</v>
      </c>
      <c r="K16" s="295">
        <f t="shared" si="0"/>
        <v>0</v>
      </c>
      <c r="L16" s="309">
        <v>0.44</v>
      </c>
      <c r="M16" s="234">
        <f t="shared" si="1"/>
        <v>0</v>
      </c>
      <c r="N16" s="295">
        <f>(M16*VLOOKUP($C$9,'Base Costs'!$A$32:$B$37,2,FALSE))</f>
        <v>0</v>
      </c>
      <c r="O16" s="296">
        <f t="shared" si="2"/>
        <v>0</v>
      </c>
      <c r="U16" s="164"/>
      <c r="AA16" s="152"/>
    </row>
    <row r="17" spans="1:27" ht="15" customHeight="1" x14ac:dyDescent="0.2">
      <c r="C17" s="204" t="s">
        <v>691</v>
      </c>
      <c r="D17" s="377" t="s">
        <v>693</v>
      </c>
      <c r="E17" s="365">
        <v>0</v>
      </c>
      <c r="F17" s="724">
        <v>800</v>
      </c>
      <c r="G17" s="722">
        <v>1900</v>
      </c>
      <c r="H17" s="723">
        <v>600</v>
      </c>
      <c r="I17" s="31"/>
      <c r="J17" s="297">
        <v>2150</v>
      </c>
      <c r="K17" s="295">
        <f t="shared" si="0"/>
        <v>0</v>
      </c>
      <c r="L17" s="309">
        <v>0.435</v>
      </c>
      <c r="M17" s="234">
        <f t="shared" si="1"/>
        <v>0</v>
      </c>
      <c r="N17" s="295">
        <f>(M17*VLOOKUP($C$9,'Base Costs'!$A$32:$B$37,2,FALSE))</f>
        <v>0</v>
      </c>
      <c r="O17" s="296">
        <f t="shared" si="2"/>
        <v>0</v>
      </c>
      <c r="U17" s="164"/>
      <c r="AA17" s="152"/>
    </row>
    <row r="18" spans="1:27" ht="15" customHeight="1" x14ac:dyDescent="0.2">
      <c r="C18" s="204" t="s">
        <v>694</v>
      </c>
      <c r="D18" s="377" t="s">
        <v>695</v>
      </c>
      <c r="E18" s="365">
        <v>0</v>
      </c>
      <c r="F18" s="724">
        <v>800</v>
      </c>
      <c r="G18" s="722">
        <v>1900</v>
      </c>
      <c r="H18" s="723">
        <v>600</v>
      </c>
      <c r="I18" s="31"/>
      <c r="J18" s="297">
        <v>2240</v>
      </c>
      <c r="K18" s="295">
        <f t="shared" si="0"/>
        <v>0</v>
      </c>
      <c r="L18" s="309">
        <v>0.435</v>
      </c>
      <c r="M18" s="234">
        <f t="shared" si="1"/>
        <v>0</v>
      </c>
      <c r="N18" s="295">
        <f>(M18*VLOOKUP($C$9,'Base Costs'!$A$32:$B$37,2,FALSE))</f>
        <v>0</v>
      </c>
      <c r="O18" s="296">
        <f t="shared" si="2"/>
        <v>0</v>
      </c>
      <c r="U18" s="164"/>
      <c r="AA18" s="152"/>
    </row>
    <row r="19" spans="1:27" ht="15" customHeight="1" x14ac:dyDescent="0.2">
      <c r="C19" s="204" t="s">
        <v>696</v>
      </c>
      <c r="D19" s="377" t="s">
        <v>697</v>
      </c>
      <c r="E19" s="365">
        <v>0</v>
      </c>
      <c r="F19" s="724">
        <v>800</v>
      </c>
      <c r="G19" s="722">
        <v>1900</v>
      </c>
      <c r="H19" s="723">
        <v>600</v>
      </c>
      <c r="I19" s="31"/>
      <c r="J19" s="297">
        <v>2481</v>
      </c>
      <c r="K19" s="295">
        <f t="shared" si="0"/>
        <v>0</v>
      </c>
      <c r="L19" s="309">
        <v>0.435</v>
      </c>
      <c r="M19" s="234">
        <f t="shared" si="1"/>
        <v>0</v>
      </c>
      <c r="N19" s="295">
        <f>(M19*VLOOKUP($C$9,'Base Costs'!$A$32:$B$37,2,FALSE))</f>
        <v>0</v>
      </c>
      <c r="O19" s="296">
        <f t="shared" si="2"/>
        <v>0</v>
      </c>
      <c r="U19" s="164"/>
      <c r="AA19" s="152"/>
    </row>
    <row r="20" spans="1:27" ht="15" customHeight="1" x14ac:dyDescent="0.2">
      <c r="C20" s="204" t="s">
        <v>698</v>
      </c>
      <c r="D20" s="377" t="s">
        <v>699</v>
      </c>
      <c r="E20" s="365">
        <v>0</v>
      </c>
      <c r="F20" s="724">
        <v>800</v>
      </c>
      <c r="G20" s="722">
        <v>1900</v>
      </c>
      <c r="H20" s="723">
        <v>600</v>
      </c>
      <c r="I20" s="31"/>
      <c r="J20" s="297">
        <v>2783</v>
      </c>
      <c r="K20" s="295">
        <f t="shared" si="0"/>
        <v>0</v>
      </c>
      <c r="L20" s="309">
        <v>0.435</v>
      </c>
      <c r="M20" s="234">
        <f t="shared" si="1"/>
        <v>0</v>
      </c>
      <c r="N20" s="295">
        <f>(M20*VLOOKUP($C$9,'Base Costs'!$A$32:$B$37,2,FALSE))</f>
        <v>0</v>
      </c>
      <c r="O20" s="296">
        <f t="shared" si="2"/>
        <v>0</v>
      </c>
      <c r="U20" s="164"/>
      <c r="AA20" s="152"/>
    </row>
    <row r="21" spans="1:27" ht="15" customHeight="1" x14ac:dyDescent="0.2">
      <c r="A21" s="150">
        <v>289</v>
      </c>
      <c r="C21" s="204" t="s">
        <v>700</v>
      </c>
      <c r="D21" s="377" t="s">
        <v>701</v>
      </c>
      <c r="E21" s="365">
        <v>0</v>
      </c>
      <c r="F21" s="724">
        <v>500</v>
      </c>
      <c r="G21" s="722">
        <v>1400</v>
      </c>
      <c r="H21" s="723">
        <v>500</v>
      </c>
      <c r="I21" s="31"/>
      <c r="J21" s="297">
        <v>1453</v>
      </c>
      <c r="K21" s="295">
        <f t="shared" si="0"/>
        <v>0</v>
      </c>
      <c r="L21" s="309">
        <v>0.435</v>
      </c>
      <c r="M21" s="234">
        <f t="shared" si="1"/>
        <v>0</v>
      </c>
      <c r="N21" s="295">
        <f>(M21*VLOOKUP($C$9,'Base Costs'!$A$32:$B$37,2,FALSE))</f>
        <v>0</v>
      </c>
      <c r="O21" s="296">
        <f t="shared" si="2"/>
        <v>0</v>
      </c>
      <c r="U21" s="164"/>
      <c r="AA21" s="152"/>
    </row>
    <row r="22" spans="1:27" ht="15" customHeight="1" x14ac:dyDescent="0.2">
      <c r="A22" s="150">
        <v>242</v>
      </c>
      <c r="C22" s="204" t="s">
        <v>702</v>
      </c>
      <c r="D22" s="377" t="s">
        <v>703</v>
      </c>
      <c r="E22" s="365">
        <v>0</v>
      </c>
      <c r="F22" s="724">
        <v>500</v>
      </c>
      <c r="G22" s="722">
        <v>1400</v>
      </c>
      <c r="H22" s="723">
        <v>500</v>
      </c>
      <c r="I22" s="31"/>
      <c r="J22" s="297">
        <v>1519</v>
      </c>
      <c r="K22" s="295">
        <f t="shared" si="0"/>
        <v>0</v>
      </c>
      <c r="L22" s="309">
        <v>0.435</v>
      </c>
      <c r="M22" s="234">
        <f t="shared" si="1"/>
        <v>0</v>
      </c>
      <c r="N22" s="295">
        <f>(M22*VLOOKUP($C$9,'Base Costs'!$A$32:$B$37,2,FALSE))</f>
        <v>0</v>
      </c>
      <c r="O22" s="296">
        <f t="shared" si="2"/>
        <v>0</v>
      </c>
      <c r="U22" s="164"/>
      <c r="AA22" s="152"/>
    </row>
    <row r="23" spans="1:27" ht="15" customHeight="1" x14ac:dyDescent="0.2">
      <c r="A23" s="150">
        <v>220</v>
      </c>
      <c r="C23" s="204" t="s">
        <v>704</v>
      </c>
      <c r="D23" s="377" t="s">
        <v>705</v>
      </c>
      <c r="E23" s="365">
        <v>0</v>
      </c>
      <c r="F23" s="724">
        <v>500</v>
      </c>
      <c r="G23" s="722">
        <v>1400</v>
      </c>
      <c r="H23" s="723">
        <v>500</v>
      </c>
      <c r="I23" s="31"/>
      <c r="J23" s="297">
        <v>1584</v>
      </c>
      <c r="K23" s="295">
        <f t="shared" si="0"/>
        <v>0</v>
      </c>
      <c r="L23" s="309">
        <v>0.435</v>
      </c>
      <c r="M23" s="234">
        <f t="shared" si="1"/>
        <v>0</v>
      </c>
      <c r="N23" s="295">
        <f>(M23*VLOOKUP($C$9,'Base Costs'!$A$32:$B$37,2,FALSE))</f>
        <v>0</v>
      </c>
      <c r="O23" s="296">
        <f t="shared" si="2"/>
        <v>0</v>
      </c>
      <c r="U23" s="164"/>
      <c r="AA23" s="152"/>
    </row>
    <row r="24" spans="1:27" ht="15" customHeight="1" x14ac:dyDescent="0.2">
      <c r="A24" s="150">
        <v>103</v>
      </c>
      <c r="C24" s="204" t="s">
        <v>706</v>
      </c>
      <c r="D24" s="377" t="s">
        <v>707</v>
      </c>
      <c r="E24" s="365">
        <v>0</v>
      </c>
      <c r="F24" s="724">
        <v>600</v>
      </c>
      <c r="G24" s="722">
        <v>1900</v>
      </c>
      <c r="H24" s="723">
        <v>600</v>
      </c>
      <c r="I24" s="31"/>
      <c r="J24" s="297">
        <v>1712</v>
      </c>
      <c r="K24" s="295">
        <f t="shared" si="0"/>
        <v>0</v>
      </c>
      <c r="L24" s="309">
        <v>0.435</v>
      </c>
      <c r="M24" s="234">
        <f t="shared" si="1"/>
        <v>0</v>
      </c>
      <c r="N24" s="295">
        <f>(M24*VLOOKUP($C$9,'Base Costs'!$A$32:$B$37,2,FALSE))</f>
        <v>0</v>
      </c>
      <c r="O24" s="296">
        <f t="shared" si="2"/>
        <v>0</v>
      </c>
      <c r="U24" s="164"/>
      <c r="AA24" s="152"/>
    </row>
    <row r="25" spans="1:27" ht="15" customHeight="1" x14ac:dyDescent="0.2">
      <c r="A25" s="150">
        <v>103</v>
      </c>
      <c r="C25" s="204" t="s">
        <v>708</v>
      </c>
      <c r="D25" s="377" t="s">
        <v>709</v>
      </c>
      <c r="E25" s="365">
        <v>0</v>
      </c>
      <c r="F25" s="724">
        <v>600</v>
      </c>
      <c r="G25" s="722">
        <v>1900</v>
      </c>
      <c r="H25" s="723">
        <v>600</v>
      </c>
      <c r="I25" s="31"/>
      <c r="J25" s="297">
        <v>1777</v>
      </c>
      <c r="K25" s="295">
        <f t="shared" si="0"/>
        <v>0</v>
      </c>
      <c r="L25" s="309">
        <v>0.435</v>
      </c>
      <c r="M25" s="234">
        <f t="shared" si="1"/>
        <v>0</v>
      </c>
      <c r="N25" s="295">
        <f>(M25*VLOOKUP($C$9,'Base Costs'!$A$32:$B$37,2,FALSE))</f>
        <v>0</v>
      </c>
      <c r="O25" s="296">
        <f t="shared" si="2"/>
        <v>0</v>
      </c>
      <c r="U25" s="164"/>
      <c r="AA25" s="152"/>
    </row>
    <row r="26" spans="1:27" ht="15" customHeight="1" x14ac:dyDescent="0.2">
      <c r="C26" s="204" t="s">
        <v>710</v>
      </c>
      <c r="D26" s="377" t="s">
        <v>711</v>
      </c>
      <c r="E26" s="365">
        <v>0</v>
      </c>
      <c r="F26" s="724">
        <v>600</v>
      </c>
      <c r="G26" s="722">
        <v>1900</v>
      </c>
      <c r="H26" s="723">
        <v>600</v>
      </c>
      <c r="I26" s="31"/>
      <c r="J26" s="297">
        <v>1904</v>
      </c>
      <c r="K26" s="295">
        <f t="shared" si="0"/>
        <v>0</v>
      </c>
      <c r="L26" s="309">
        <v>0.435</v>
      </c>
      <c r="M26" s="234">
        <f t="shared" si="1"/>
        <v>0</v>
      </c>
      <c r="N26" s="295">
        <f>(M26*VLOOKUP($C$9,'Base Costs'!$A$32:$B$37,2,FALSE))</f>
        <v>0</v>
      </c>
      <c r="O26" s="296">
        <f t="shared" si="2"/>
        <v>0</v>
      </c>
      <c r="U26" s="164"/>
      <c r="AA26" s="152"/>
    </row>
    <row r="27" spans="1:27" ht="15" customHeight="1" x14ac:dyDescent="0.15">
      <c r="A27" s="150">
        <v>285</v>
      </c>
      <c r="C27" s="204"/>
      <c r="D27" s="377" t="s">
        <v>712</v>
      </c>
      <c r="E27" s="365">
        <v>0</v>
      </c>
      <c r="F27" s="28"/>
      <c r="G27" s="28"/>
      <c r="H27" s="32"/>
      <c r="I27" s="31"/>
      <c r="J27" s="297"/>
      <c r="K27" s="295">
        <f t="shared" si="0"/>
        <v>0</v>
      </c>
      <c r="L27" s="309">
        <v>0.435</v>
      </c>
      <c r="M27" s="234">
        <f t="shared" si="1"/>
        <v>0</v>
      </c>
      <c r="N27" s="295">
        <f>(M27*VLOOKUP($C$9,'Base Costs'!$A$32:$B$37,2,FALSE))</f>
        <v>0</v>
      </c>
      <c r="O27" s="296">
        <f t="shared" si="2"/>
        <v>0</v>
      </c>
      <c r="U27" s="164"/>
      <c r="AA27" s="152"/>
    </row>
    <row r="28" spans="1:27" ht="15" customHeight="1" x14ac:dyDescent="0.15">
      <c r="C28" s="204"/>
      <c r="D28" s="377" t="s">
        <v>712</v>
      </c>
      <c r="E28" s="365">
        <v>0</v>
      </c>
      <c r="F28" s="28"/>
      <c r="G28" s="28"/>
      <c r="H28" s="32"/>
      <c r="I28" s="31"/>
      <c r="J28" s="297">
        <f>IF(E28=0,0,36)</f>
        <v>0</v>
      </c>
      <c r="K28" s="295">
        <f t="shared" si="0"/>
        <v>0</v>
      </c>
      <c r="L28" s="309">
        <v>0.435</v>
      </c>
      <c r="M28" s="234">
        <f t="shared" si="1"/>
        <v>0</v>
      </c>
      <c r="N28" s="295">
        <f>(M28*VLOOKUP($C$9,'Base Costs'!$A$32:$B$37,2,FALSE))</f>
        <v>0</v>
      </c>
      <c r="O28" s="296">
        <f t="shared" si="2"/>
        <v>0</v>
      </c>
      <c r="U28" s="164"/>
      <c r="AA28" s="152"/>
    </row>
    <row r="29" spans="1:27" ht="15" customHeight="1" x14ac:dyDescent="0.15">
      <c r="C29" s="204"/>
      <c r="D29" s="377" t="s">
        <v>712</v>
      </c>
      <c r="E29" s="365">
        <v>0</v>
      </c>
      <c r="F29" s="28"/>
      <c r="G29" s="28"/>
      <c r="H29" s="32"/>
      <c r="I29" s="31"/>
      <c r="J29" s="297"/>
      <c r="K29" s="295">
        <f t="shared" si="0"/>
        <v>0</v>
      </c>
      <c r="L29" s="309">
        <v>0.435</v>
      </c>
      <c r="M29" s="234">
        <f t="shared" si="1"/>
        <v>0</v>
      </c>
      <c r="N29" s="295">
        <f>(M29*VLOOKUP($C$9,'Base Costs'!$A$32:$B$37,2,FALSE))</f>
        <v>0</v>
      </c>
      <c r="O29" s="296">
        <f t="shared" si="2"/>
        <v>0</v>
      </c>
      <c r="U29" s="164"/>
      <c r="AA29" s="152"/>
    </row>
    <row r="30" spans="1:27" ht="15" customHeight="1" x14ac:dyDescent="0.15">
      <c r="A30" s="150">
        <v>286</v>
      </c>
      <c r="C30" s="204"/>
      <c r="D30" s="377" t="s">
        <v>712</v>
      </c>
      <c r="E30" s="365">
        <v>0</v>
      </c>
      <c r="F30" s="28"/>
      <c r="G30" s="28"/>
      <c r="H30" s="30"/>
      <c r="I30" s="31"/>
      <c r="J30" s="297">
        <f>IF(E30=0,0,100)</f>
        <v>0</v>
      </c>
      <c r="K30" s="295">
        <f t="shared" si="0"/>
        <v>0</v>
      </c>
      <c r="L30" s="309">
        <v>0.435</v>
      </c>
      <c r="M30" s="234">
        <f t="shared" si="1"/>
        <v>0</v>
      </c>
      <c r="N30" s="295">
        <f>(M30*VLOOKUP($C$9,'Base Costs'!$A$32:$B$37,2,FALSE))</f>
        <v>0</v>
      </c>
      <c r="O30" s="296">
        <f t="shared" si="2"/>
        <v>0</v>
      </c>
      <c r="U30" s="164"/>
      <c r="AA30" s="152"/>
    </row>
    <row r="31" spans="1:27" ht="15" customHeight="1" x14ac:dyDescent="0.15">
      <c r="C31" s="204"/>
      <c r="D31" s="377" t="s">
        <v>712</v>
      </c>
      <c r="E31" s="365">
        <v>0</v>
      </c>
      <c r="F31" s="379"/>
      <c r="G31" s="32"/>
      <c r="H31" s="30"/>
      <c r="I31" s="31"/>
      <c r="J31" s="721"/>
      <c r="K31" s="295">
        <f t="shared" si="0"/>
        <v>0</v>
      </c>
      <c r="L31" s="309">
        <v>0.435</v>
      </c>
      <c r="M31" s="234">
        <f t="shared" si="1"/>
        <v>0</v>
      </c>
      <c r="N31" s="295">
        <f>(M31*VLOOKUP($C$9,'Base Costs'!$A$32:$B$37,2,FALSE))</f>
        <v>0</v>
      </c>
      <c r="O31" s="296">
        <f t="shared" si="2"/>
        <v>0</v>
      </c>
      <c r="U31" s="164"/>
      <c r="AA31" s="152"/>
    </row>
    <row r="32" spans="1:27" ht="15" customHeight="1" x14ac:dyDescent="0.15">
      <c r="C32" s="856" t="s">
        <v>586</v>
      </c>
      <c r="D32" s="894" t="s">
        <v>713</v>
      </c>
      <c r="E32" s="895">
        <v>1</v>
      </c>
      <c r="F32" s="898"/>
      <c r="G32" s="868"/>
      <c r="H32" s="899"/>
      <c r="I32" s="896"/>
      <c r="J32" s="900">
        <v>50</v>
      </c>
      <c r="K32" s="872">
        <f t="shared" si="0"/>
        <v>50</v>
      </c>
      <c r="L32" s="897">
        <v>0.44</v>
      </c>
      <c r="M32" s="873">
        <f t="shared" si="1"/>
        <v>89.285714285714278</v>
      </c>
      <c r="N32" s="872">
        <f>(M32*VLOOKUP($C$9,'Base Costs'!$A$32:$B$37,2,FALSE))</f>
        <v>89.285714285714278</v>
      </c>
      <c r="O32" s="874">
        <f t="shared" si="2"/>
        <v>39.285714285714278</v>
      </c>
      <c r="P32" s="868" t="s">
        <v>70</v>
      </c>
      <c r="U32" s="164"/>
      <c r="AA32" s="152"/>
    </row>
    <row r="33" spans="1:27" ht="15" customHeight="1" x14ac:dyDescent="0.15">
      <c r="H33" s="34" t="s">
        <v>23</v>
      </c>
    </row>
    <row r="34" spans="1:27" ht="15" customHeight="1" x14ac:dyDescent="0.15">
      <c r="C34" s="174"/>
      <c r="D34" s="174"/>
      <c r="E34" s="174"/>
      <c r="F34" s="174"/>
      <c r="G34" s="174"/>
      <c r="H34" s="174"/>
      <c r="I34" s="9"/>
      <c r="J34" s="11"/>
      <c r="K34" s="272"/>
      <c r="L34" s="175"/>
      <c r="M34" s="272"/>
      <c r="N34" s="272"/>
      <c r="U34" s="164"/>
      <c r="AA34" s="152"/>
    </row>
    <row r="35" spans="1:27" ht="15" customHeight="1" x14ac:dyDescent="0.15">
      <c r="C35" s="982" t="s">
        <v>88</v>
      </c>
      <c r="D35" s="934"/>
      <c r="E35" s="934"/>
      <c r="F35" s="934"/>
      <c r="G35" s="934"/>
      <c r="H35" s="934"/>
      <c r="I35" s="171"/>
      <c r="J35" s="249"/>
      <c r="K35" s="123">
        <f>SUBTOTAL(9,K36:K46)</f>
        <v>0</v>
      </c>
      <c r="L35" s="15" t="str">
        <f>IF(K35=0,"-",O35/M35)</f>
        <v>-</v>
      </c>
      <c r="M35" s="123">
        <f>SUBTOTAL(9,M36:M46)</f>
        <v>0</v>
      </c>
      <c r="N35" s="381">
        <f>SUBTOTAL(9,N36:N46)</f>
        <v>0</v>
      </c>
      <c r="O35" s="123">
        <f>SUBTOTAL(9,O37:O46)</f>
        <v>0</v>
      </c>
      <c r="U35" s="164"/>
    </row>
    <row r="36" spans="1:27" ht="15" customHeight="1" x14ac:dyDescent="0.15">
      <c r="A36" s="150">
        <v>222</v>
      </c>
      <c r="C36" s="204" t="s">
        <v>630</v>
      </c>
      <c r="D36" s="177"/>
      <c r="E36" s="233" t="s">
        <v>95</v>
      </c>
      <c r="F36" s="28"/>
      <c r="G36" s="30"/>
      <c r="H36" s="28"/>
      <c r="I36" s="28"/>
      <c r="J36" s="302">
        <f>VLOOKUP(E36,'Base Costs'!E4:G213,2,FALSE)</f>
        <v>0</v>
      </c>
      <c r="K36" s="295">
        <f t="shared" ref="K36:K46" si="3">D36*J36</f>
        <v>0</v>
      </c>
      <c r="L36" s="309">
        <v>0.33</v>
      </c>
      <c r="M36" s="234">
        <f t="shared" ref="M36:M46" si="4">(K36/(1-L36))*(1+$D$9)</f>
        <v>0</v>
      </c>
      <c r="N36" s="295">
        <f>(M36*VLOOKUP($C$9,'Base Costs'!$A$32:$B$37,2,FALSE))</f>
        <v>0</v>
      </c>
      <c r="O36" s="296">
        <f t="shared" ref="O36:O46" si="5">M36-K36</f>
        <v>0</v>
      </c>
      <c r="U36" s="164"/>
    </row>
    <row r="37" spans="1:27" ht="15" customHeight="1" x14ac:dyDescent="0.15">
      <c r="A37" s="150">
        <v>257</v>
      </c>
      <c r="C37" s="204" t="s">
        <v>463</v>
      </c>
      <c r="D37" s="177"/>
      <c r="E37" s="233" t="s">
        <v>93</v>
      </c>
      <c r="F37" s="28"/>
      <c r="G37" s="28"/>
      <c r="H37" s="28"/>
      <c r="I37" s="28"/>
      <c r="J37" s="302">
        <f>VLOOKUP(E37,'Base Costs'!$A$4:$B$16,2,FALSE)</f>
        <v>0</v>
      </c>
      <c r="K37" s="295">
        <f t="shared" si="3"/>
        <v>0</v>
      </c>
      <c r="L37" s="309">
        <v>0.33</v>
      </c>
      <c r="M37" s="234">
        <f t="shared" si="4"/>
        <v>0</v>
      </c>
      <c r="N37" s="295">
        <f>(M37*VLOOKUP($C$9,'Base Costs'!$A$32:$B$37,2,FALSE))</f>
        <v>0</v>
      </c>
      <c r="O37" s="296">
        <f t="shared" si="5"/>
        <v>0</v>
      </c>
      <c r="U37" s="164"/>
    </row>
    <row r="38" spans="1:27" ht="15" customHeight="1" x14ac:dyDescent="0.15">
      <c r="A38" s="150">
        <v>257</v>
      </c>
      <c r="C38" s="204" t="s">
        <v>463</v>
      </c>
      <c r="D38" s="177"/>
      <c r="E38" s="233" t="s">
        <v>93</v>
      </c>
      <c r="F38" s="28"/>
      <c r="G38" s="28"/>
      <c r="H38" s="28"/>
      <c r="I38" s="28"/>
      <c r="J38" s="302">
        <f>VLOOKUP(E38,'Base Costs'!$A$4:$B$16,2,FALSE)</f>
        <v>0</v>
      </c>
      <c r="K38" s="295">
        <f t="shared" si="3"/>
        <v>0</v>
      </c>
      <c r="L38" s="309">
        <v>0.33</v>
      </c>
      <c r="M38" s="234">
        <f t="shared" si="4"/>
        <v>0</v>
      </c>
      <c r="N38" s="295">
        <f>(M38*VLOOKUP($C$9,'Base Costs'!$A$32:$B$37,2,FALSE))</f>
        <v>0</v>
      </c>
      <c r="O38" s="296">
        <f t="shared" si="5"/>
        <v>0</v>
      </c>
      <c r="U38" s="164"/>
    </row>
    <row r="39" spans="1:27" ht="15" customHeight="1" x14ac:dyDescent="0.15">
      <c r="A39" s="150">
        <v>400</v>
      </c>
      <c r="C39" s="204" t="s">
        <v>96</v>
      </c>
      <c r="D39" s="177"/>
      <c r="E39" s="28" t="s">
        <v>97</v>
      </c>
      <c r="F39" s="28"/>
      <c r="G39" s="28"/>
      <c r="H39" s="28"/>
      <c r="I39" s="28"/>
      <c r="J39" s="302">
        <v>610</v>
      </c>
      <c r="K39" s="295">
        <f t="shared" si="3"/>
        <v>0</v>
      </c>
      <c r="L39" s="309">
        <v>0.33</v>
      </c>
      <c r="M39" s="234">
        <f t="shared" si="4"/>
        <v>0</v>
      </c>
      <c r="N39" s="295">
        <f>(M39*VLOOKUP($C$9,'Base Costs'!$A$32:$B$37,2,FALSE))</f>
        <v>0</v>
      </c>
      <c r="O39" s="296">
        <f t="shared" si="5"/>
        <v>0</v>
      </c>
      <c r="U39" s="164"/>
    </row>
    <row r="40" spans="1:27" ht="15" customHeight="1" x14ac:dyDescent="0.15">
      <c r="A40" s="150">
        <v>102</v>
      </c>
      <c r="C40" s="204" t="s">
        <v>465</v>
      </c>
      <c r="D40" s="177"/>
      <c r="E40" s="28" t="s">
        <v>99</v>
      </c>
      <c r="F40" s="28"/>
      <c r="G40" s="28"/>
      <c r="H40" s="28"/>
      <c r="I40" s="28"/>
      <c r="J40" s="302">
        <v>15</v>
      </c>
      <c r="K40" s="295">
        <f t="shared" si="3"/>
        <v>0</v>
      </c>
      <c r="L40" s="309">
        <v>0.33</v>
      </c>
      <c r="M40" s="234">
        <f t="shared" si="4"/>
        <v>0</v>
      </c>
      <c r="N40" s="295">
        <f>(M40*VLOOKUP($C$9,'Base Costs'!$A$32:$B$37,2,FALSE))</f>
        <v>0</v>
      </c>
      <c r="O40" s="296">
        <f t="shared" si="5"/>
        <v>0</v>
      </c>
      <c r="U40" s="164"/>
    </row>
    <row r="41" spans="1:27" ht="15" customHeight="1" x14ac:dyDescent="0.15">
      <c r="A41" s="150">
        <v>400</v>
      </c>
      <c r="C41" s="204" t="s">
        <v>100</v>
      </c>
      <c r="D41" s="177"/>
      <c r="E41" s="28" t="s">
        <v>509</v>
      </c>
      <c r="F41" s="28"/>
      <c r="G41" s="28"/>
      <c r="H41" s="28"/>
      <c r="I41" s="28"/>
      <c r="J41" s="302">
        <v>610</v>
      </c>
      <c r="K41" s="295">
        <f t="shared" si="3"/>
        <v>0</v>
      </c>
      <c r="L41" s="309">
        <v>0.4</v>
      </c>
      <c r="M41" s="234">
        <f t="shared" si="4"/>
        <v>0</v>
      </c>
      <c r="N41" s="295">
        <f>(M41*VLOOKUP($C$9,'Base Costs'!$A$32:$B$37,2,FALSE))</f>
        <v>0</v>
      </c>
      <c r="O41" s="296">
        <f t="shared" si="5"/>
        <v>0</v>
      </c>
      <c r="U41" s="164"/>
    </row>
    <row r="42" spans="1:27" ht="15" customHeight="1" x14ac:dyDescent="0.15">
      <c r="A42" s="150">
        <v>400</v>
      </c>
      <c r="C42" s="204" t="s">
        <v>102</v>
      </c>
      <c r="D42" s="177"/>
      <c r="E42" s="28" t="s">
        <v>509</v>
      </c>
      <c r="F42" s="28"/>
      <c r="G42" s="28"/>
      <c r="H42" s="28"/>
      <c r="I42" s="28"/>
      <c r="J42" s="302">
        <v>1220</v>
      </c>
      <c r="K42" s="295">
        <f t="shared" si="3"/>
        <v>0</v>
      </c>
      <c r="L42" s="309">
        <v>0.4</v>
      </c>
      <c r="M42" s="234">
        <f t="shared" si="4"/>
        <v>0</v>
      </c>
      <c r="N42" s="295">
        <f>(M42*VLOOKUP($C$9,'Base Costs'!$A$32:$B$37,2,FALSE))</f>
        <v>0</v>
      </c>
      <c r="O42" s="296">
        <f t="shared" si="5"/>
        <v>0</v>
      </c>
      <c r="U42" s="164"/>
    </row>
    <row r="43" spans="1:27" ht="15" customHeight="1" x14ac:dyDescent="0.15">
      <c r="A43" s="150">
        <v>253</v>
      </c>
      <c r="C43" s="204" t="s">
        <v>636</v>
      </c>
      <c r="D43" s="177"/>
      <c r="E43" s="28" t="s">
        <v>106</v>
      </c>
      <c r="F43" s="28"/>
      <c r="G43" s="28"/>
      <c r="H43" s="28"/>
      <c r="I43" s="28"/>
      <c r="J43" s="302">
        <v>150</v>
      </c>
      <c r="K43" s="295">
        <f t="shared" si="3"/>
        <v>0</v>
      </c>
      <c r="L43" s="309">
        <v>0.33</v>
      </c>
      <c r="M43" s="234">
        <f t="shared" si="4"/>
        <v>0</v>
      </c>
      <c r="N43" s="295">
        <f>(M43*VLOOKUP($C$9,'Base Costs'!$A$32:$B$37,2,FALSE))</f>
        <v>0</v>
      </c>
      <c r="O43" s="296">
        <f t="shared" si="5"/>
        <v>0</v>
      </c>
      <c r="U43" s="164"/>
    </row>
    <row r="44" spans="1:27" ht="15" customHeight="1" x14ac:dyDescent="0.15">
      <c r="A44" s="150">
        <v>253</v>
      </c>
      <c r="C44" s="204" t="s">
        <v>468</v>
      </c>
      <c r="D44" s="177"/>
      <c r="E44" s="28" t="s">
        <v>106</v>
      </c>
      <c r="F44" s="28"/>
      <c r="G44" s="28"/>
      <c r="H44" s="28"/>
      <c r="I44" s="28"/>
      <c r="J44" s="302">
        <v>220</v>
      </c>
      <c r="K44" s="295">
        <f t="shared" si="3"/>
        <v>0</v>
      </c>
      <c r="L44" s="309">
        <v>0.33</v>
      </c>
      <c r="M44" s="234">
        <f t="shared" si="4"/>
        <v>0</v>
      </c>
      <c r="N44" s="295">
        <f>(M44*VLOOKUP($C$9,'Base Costs'!$A$32:$B$37,2,FALSE))</f>
        <v>0</v>
      </c>
      <c r="O44" s="296">
        <f t="shared" si="5"/>
        <v>0</v>
      </c>
      <c r="U44" s="164"/>
    </row>
    <row r="45" spans="1:27" ht="15" customHeight="1" x14ac:dyDescent="0.15">
      <c r="A45" s="150">
        <v>280</v>
      </c>
      <c r="C45" s="204" t="s">
        <v>107</v>
      </c>
      <c r="D45" s="177"/>
      <c r="E45" s="28" t="s">
        <v>684</v>
      </c>
      <c r="F45" s="28"/>
      <c r="G45" s="28"/>
      <c r="H45" s="28"/>
      <c r="I45" s="28"/>
      <c r="J45" s="302">
        <v>604</v>
      </c>
      <c r="K45" s="295">
        <f t="shared" si="3"/>
        <v>0</v>
      </c>
      <c r="L45" s="309">
        <v>0.33</v>
      </c>
      <c r="M45" s="234">
        <f t="shared" si="4"/>
        <v>0</v>
      </c>
      <c r="N45" s="295">
        <f>(M45*VLOOKUP($C$9,'Base Costs'!$A$32:$B$37,2,FALSE))</f>
        <v>0</v>
      </c>
      <c r="O45" s="296">
        <f t="shared" si="5"/>
        <v>0</v>
      </c>
      <c r="U45" s="164"/>
    </row>
    <row r="46" spans="1:27" ht="15" customHeight="1" x14ac:dyDescent="0.15">
      <c r="A46" s="150">
        <v>284</v>
      </c>
      <c r="C46" s="204" t="s">
        <v>115</v>
      </c>
      <c r="D46" s="177"/>
      <c r="E46" s="28" t="s">
        <v>685</v>
      </c>
      <c r="F46" s="28"/>
      <c r="G46" s="28"/>
      <c r="H46" s="28"/>
      <c r="I46" s="28"/>
      <c r="J46" s="302">
        <v>350</v>
      </c>
      <c r="K46" s="295">
        <f t="shared" si="3"/>
        <v>0</v>
      </c>
      <c r="L46" s="309">
        <v>0.33</v>
      </c>
      <c r="M46" s="234">
        <f t="shared" si="4"/>
        <v>0</v>
      </c>
      <c r="N46" s="295">
        <f>(M46*VLOOKUP($C$9,'Base Costs'!$A$32:$B$37,2,FALSE))</f>
        <v>0</v>
      </c>
      <c r="O46" s="296">
        <f t="shared" si="5"/>
        <v>0</v>
      </c>
      <c r="U46" s="164"/>
    </row>
    <row r="47" spans="1:27" ht="15" customHeight="1" x14ac:dyDescent="0.15">
      <c r="C47" s="174"/>
      <c r="D47" s="174"/>
      <c r="E47" s="174"/>
      <c r="F47" s="174"/>
      <c r="G47" s="174"/>
      <c r="H47" s="178"/>
      <c r="I47" s="179"/>
      <c r="J47" s="273"/>
      <c r="K47" s="272"/>
      <c r="L47" s="274"/>
      <c r="M47" s="272"/>
      <c r="N47" s="272"/>
      <c r="U47" s="164"/>
    </row>
    <row r="48" spans="1:27" ht="15" customHeight="1" x14ac:dyDescent="0.2">
      <c r="C48" s="139" t="s">
        <v>46</v>
      </c>
      <c r="D48" s="140"/>
      <c r="E48" s="141"/>
      <c r="F48" s="141"/>
      <c r="G48" s="140"/>
      <c r="H48" s="142"/>
      <c r="I48" s="140"/>
      <c r="J48" s="140"/>
      <c r="K48" s="140"/>
      <c r="L48" s="140"/>
      <c r="M48" s="140"/>
      <c r="N48" s="140"/>
      <c r="O48" s="140"/>
      <c r="U48" s="164"/>
    </row>
    <row r="49" spans="3:21" ht="15" customHeight="1" x14ac:dyDescent="0.2">
      <c r="C49" s="143"/>
      <c r="D49" s="144"/>
      <c r="E49" s="143"/>
      <c r="F49" s="145"/>
      <c r="G49" s="143"/>
      <c r="H49" s="149"/>
      <c r="I49" s="144"/>
      <c r="J49" s="144"/>
      <c r="K49" s="146"/>
      <c r="L49" s="146"/>
      <c r="M49" s="146"/>
      <c r="N49" s="146"/>
      <c r="O49" s="146"/>
      <c r="U49" s="164"/>
    </row>
    <row r="50" spans="3:21" ht="15" customHeight="1" x14ac:dyDescent="0.2">
      <c r="C50" s="143"/>
      <c r="D50" s="144"/>
      <c r="E50" s="143"/>
      <c r="F50" s="145"/>
      <c r="G50" s="143"/>
      <c r="H50" s="149"/>
      <c r="I50" s="144"/>
      <c r="J50" s="144"/>
      <c r="K50" s="146"/>
      <c r="L50" s="146"/>
      <c r="M50" s="146"/>
      <c r="N50" s="146"/>
      <c r="O50" s="146"/>
      <c r="U50" s="164"/>
    </row>
    <row r="51" spans="3:21" ht="15" customHeight="1" x14ac:dyDescent="0.2">
      <c r="C51" s="143"/>
      <c r="D51" s="144"/>
      <c r="E51" s="143"/>
      <c r="F51" s="145"/>
      <c r="G51" s="143"/>
      <c r="H51" s="149"/>
      <c r="I51" s="144"/>
      <c r="J51" s="144"/>
      <c r="K51" s="149"/>
      <c r="L51" s="149"/>
      <c r="M51" s="149"/>
      <c r="N51" s="149"/>
      <c r="O51" s="149"/>
      <c r="U51" s="164"/>
    </row>
    <row r="52" spans="3:21" ht="15" customHeight="1" x14ac:dyDescent="0.2">
      <c r="C52" s="143"/>
      <c r="D52" s="144"/>
      <c r="E52" s="143"/>
      <c r="F52" s="145"/>
      <c r="G52" s="143"/>
      <c r="H52" s="149"/>
      <c r="I52" s="147"/>
      <c r="J52" s="144"/>
      <c r="K52" s="149"/>
      <c r="L52" s="149"/>
      <c r="M52" s="149"/>
      <c r="N52" s="149"/>
      <c r="O52" s="149"/>
      <c r="U52" s="164"/>
    </row>
    <row r="53" spans="3:21" ht="15" customHeight="1" x14ac:dyDescent="0.2">
      <c r="C53" s="143"/>
      <c r="D53" s="144"/>
      <c r="E53" s="143"/>
      <c r="F53" s="143"/>
      <c r="G53" s="143"/>
      <c r="H53" s="148"/>
      <c r="I53" s="149"/>
      <c r="J53" s="144"/>
      <c r="K53" s="146"/>
      <c r="L53" s="146"/>
      <c r="M53" s="146"/>
      <c r="N53" s="146"/>
      <c r="O53" s="146"/>
      <c r="U53" s="164"/>
    </row>
    <row r="54" spans="3:21" ht="15" customHeight="1" x14ac:dyDescent="0.2">
      <c r="C54" s="143"/>
      <c r="D54" s="143"/>
      <c r="E54" s="143"/>
      <c r="F54" s="143"/>
      <c r="G54" s="143"/>
      <c r="H54" s="148"/>
      <c r="I54" s="149"/>
      <c r="J54" s="144"/>
      <c r="K54" s="146"/>
      <c r="L54" s="146"/>
      <c r="M54" s="146"/>
      <c r="N54" s="146"/>
      <c r="O54" s="146"/>
      <c r="U54" s="164"/>
    </row>
    <row r="55" spans="3:21" ht="15" customHeight="1" x14ac:dyDescent="0.15">
      <c r="J55" s="163"/>
      <c r="M55" s="163"/>
      <c r="O55" s="163"/>
      <c r="U55" s="164"/>
    </row>
    <row r="56" spans="3:21" ht="15" customHeight="1" x14ac:dyDescent="0.15">
      <c r="J56" s="163"/>
      <c r="M56" s="163"/>
      <c r="O56" s="163"/>
      <c r="U56" s="164"/>
    </row>
    <row r="57" spans="3:21" ht="15" customHeight="1" x14ac:dyDescent="0.15">
      <c r="H57" s="154"/>
      <c r="U57" s="164"/>
    </row>
    <row r="58" spans="3:21" ht="15" customHeight="1" x14ac:dyDescent="0.15">
      <c r="H58" s="154"/>
      <c r="U58" s="164"/>
    </row>
    <row r="59" spans="3:21" ht="15" customHeight="1" x14ac:dyDescent="0.15">
      <c r="H59" s="154"/>
      <c r="U59" s="164"/>
    </row>
    <row r="60" spans="3:21" ht="15" customHeight="1" x14ac:dyDescent="0.15">
      <c r="H60" s="154"/>
      <c r="U60" s="164"/>
    </row>
    <row r="61" spans="3:21" ht="15" customHeight="1" x14ac:dyDescent="0.15">
      <c r="H61" s="154"/>
      <c r="U61" s="164"/>
    </row>
    <row r="62" spans="3:21" ht="15" customHeight="1" x14ac:dyDescent="0.15">
      <c r="H62" s="154"/>
      <c r="U62" s="164"/>
    </row>
    <row r="63" spans="3:21" ht="15" customHeight="1" x14ac:dyDescent="0.15">
      <c r="H63" s="154"/>
      <c r="U63" s="164"/>
    </row>
    <row r="64" spans="3:21" ht="15" customHeight="1" x14ac:dyDescent="0.15">
      <c r="H64" s="154"/>
      <c r="U64" s="164"/>
    </row>
    <row r="65" spans="3:21" ht="15" customHeight="1" x14ac:dyDescent="0.15">
      <c r="H65" s="154"/>
      <c r="U65" s="164"/>
    </row>
    <row r="66" spans="3:21" ht="15" customHeight="1" x14ac:dyDescent="0.15">
      <c r="C66" s="180"/>
      <c r="D66" s="180"/>
      <c r="E66" s="180"/>
      <c r="F66" s="180"/>
      <c r="G66" s="180"/>
      <c r="H66" s="180"/>
      <c r="U66" s="164"/>
    </row>
    <row r="67" spans="3:21" ht="15" customHeight="1" x14ac:dyDescent="0.15">
      <c r="U67" s="164"/>
    </row>
    <row r="68" spans="3:21" ht="15" customHeight="1" x14ac:dyDescent="0.15">
      <c r="U68" s="164"/>
    </row>
    <row r="69" spans="3:21" ht="15" customHeight="1" x14ac:dyDescent="0.15">
      <c r="U69" s="164"/>
    </row>
    <row r="70" spans="3:21" ht="15" customHeight="1" x14ac:dyDescent="0.15">
      <c r="U70" s="164"/>
    </row>
    <row r="71" spans="3:21" ht="15" customHeight="1" x14ac:dyDescent="0.15">
      <c r="U71" s="164"/>
    </row>
    <row r="72" spans="3:21" ht="15" customHeight="1" x14ac:dyDescent="0.15">
      <c r="U72" s="164"/>
    </row>
    <row r="73" spans="3:21" ht="15" customHeight="1" x14ac:dyDescent="0.15">
      <c r="U73" s="164"/>
    </row>
    <row r="74" spans="3:21" ht="15" customHeight="1" x14ac:dyDescent="0.15">
      <c r="U74" s="164"/>
    </row>
    <row r="75" spans="3:21" ht="15" customHeight="1" x14ac:dyDescent="0.15">
      <c r="U75" s="164"/>
    </row>
    <row r="76" spans="3:21" ht="15" customHeight="1" x14ac:dyDescent="0.15">
      <c r="U76" s="164"/>
    </row>
    <row r="77" spans="3:21" ht="15" customHeight="1" x14ac:dyDescent="0.15">
      <c r="U77" s="164"/>
    </row>
    <row r="78" spans="3:21" ht="15" customHeight="1" x14ac:dyDescent="0.15">
      <c r="U78" s="164"/>
    </row>
    <row r="79" spans="3:21" ht="15" customHeight="1" x14ac:dyDescent="0.15">
      <c r="U79" s="164"/>
    </row>
    <row r="80" spans="3:21" ht="15" customHeight="1" x14ac:dyDescent="0.15">
      <c r="U80" s="164"/>
    </row>
    <row r="81" spans="21:21" ht="15" customHeight="1" x14ac:dyDescent="0.15">
      <c r="U81" s="164"/>
    </row>
    <row r="82" spans="21:21" ht="15" customHeight="1" x14ac:dyDescent="0.15">
      <c r="U82" s="164"/>
    </row>
    <row r="83" spans="21:21" ht="15" customHeight="1" x14ac:dyDescent="0.15">
      <c r="U83" s="164"/>
    </row>
    <row r="84" spans="21:21" ht="15" customHeight="1" x14ac:dyDescent="0.15">
      <c r="U84" s="164"/>
    </row>
    <row r="85" spans="21:21" ht="15" customHeight="1" x14ac:dyDescent="0.15">
      <c r="U85" s="164"/>
    </row>
    <row r="86" spans="21:21" ht="15" customHeight="1" x14ac:dyDescent="0.15">
      <c r="U86" s="164"/>
    </row>
    <row r="87" spans="21:21" ht="15" customHeight="1" x14ac:dyDescent="0.15">
      <c r="U87" s="164"/>
    </row>
    <row r="88" spans="21:21" ht="15" customHeight="1" x14ac:dyDescent="0.15">
      <c r="U88" s="164"/>
    </row>
    <row r="89" spans="21:21" ht="15" customHeight="1" x14ac:dyDescent="0.15">
      <c r="U89" s="164"/>
    </row>
    <row r="90" spans="21:21" ht="15" customHeight="1" x14ac:dyDescent="0.15">
      <c r="U90" s="164"/>
    </row>
    <row r="91" spans="21:21" ht="15" customHeight="1" x14ac:dyDescent="0.15">
      <c r="U91" s="164"/>
    </row>
    <row r="92" spans="21:21" ht="15" customHeight="1" x14ac:dyDescent="0.15">
      <c r="U92" s="164"/>
    </row>
    <row r="93" spans="21:21" ht="15" customHeight="1" x14ac:dyDescent="0.15">
      <c r="U93" s="164"/>
    </row>
    <row r="94" spans="21:21" ht="15" customHeight="1" x14ac:dyDescent="0.15">
      <c r="U94" s="164"/>
    </row>
    <row r="95" spans="21:21" ht="15" customHeight="1" x14ac:dyDescent="0.15">
      <c r="U95" s="164"/>
    </row>
    <row r="96" spans="21:21" ht="15" customHeight="1" x14ac:dyDescent="0.15">
      <c r="U96" s="164"/>
    </row>
    <row r="97" spans="21:21" ht="15" customHeight="1" x14ac:dyDescent="0.15">
      <c r="U97" s="164"/>
    </row>
    <row r="98" spans="21:21" ht="15" customHeight="1" x14ac:dyDescent="0.15">
      <c r="U98" s="164"/>
    </row>
    <row r="99" spans="21:21" ht="15" customHeight="1" x14ac:dyDescent="0.15">
      <c r="U99" s="164"/>
    </row>
    <row r="100" spans="21:21" ht="15" customHeight="1" x14ac:dyDescent="0.15">
      <c r="U100" s="164"/>
    </row>
    <row r="101" spans="21:21" ht="15" customHeight="1" x14ac:dyDescent="0.15">
      <c r="U101" s="164"/>
    </row>
    <row r="102" spans="21:21" ht="15" customHeight="1" x14ac:dyDescent="0.15">
      <c r="U102" s="164"/>
    </row>
    <row r="103" spans="21:21" ht="15" customHeight="1" x14ac:dyDescent="0.15">
      <c r="U103" s="164"/>
    </row>
    <row r="104" spans="21:21" ht="15" customHeight="1" x14ac:dyDescent="0.15">
      <c r="U104" s="164"/>
    </row>
    <row r="105" spans="21:21" ht="15" customHeight="1" x14ac:dyDescent="0.15">
      <c r="U105" s="164"/>
    </row>
    <row r="106" spans="21:21" ht="15" customHeight="1" x14ac:dyDescent="0.15">
      <c r="U106" s="164"/>
    </row>
    <row r="107" spans="21:21" ht="15" customHeight="1" x14ac:dyDescent="0.15">
      <c r="U107" s="164"/>
    </row>
    <row r="108" spans="21:21" ht="15" customHeight="1" x14ac:dyDescent="0.15">
      <c r="U108" s="164"/>
    </row>
    <row r="109" spans="21:21" ht="15" customHeight="1" x14ac:dyDescent="0.15">
      <c r="U109" s="164"/>
    </row>
    <row r="110" spans="21:21" ht="15" customHeight="1" x14ac:dyDescent="0.15">
      <c r="U110" s="164"/>
    </row>
    <row r="111" spans="21:21" ht="15" customHeight="1" x14ac:dyDescent="0.15">
      <c r="U111" s="164"/>
    </row>
    <row r="112" spans="21:21" ht="15" customHeight="1" x14ac:dyDescent="0.15">
      <c r="U112" s="164"/>
    </row>
    <row r="113" spans="21:21" ht="15" customHeight="1" x14ac:dyDescent="0.15">
      <c r="U113" s="164"/>
    </row>
    <row r="114" spans="21:21" ht="15" customHeight="1" x14ac:dyDescent="0.15">
      <c r="U114" s="164"/>
    </row>
    <row r="115" spans="21:21" ht="15" customHeight="1" x14ac:dyDescent="0.15">
      <c r="U115" s="164"/>
    </row>
    <row r="116" spans="21:21" ht="15" customHeight="1" x14ac:dyDescent="0.15">
      <c r="U116" s="164"/>
    </row>
    <row r="117" spans="21:21" ht="15" customHeight="1" x14ac:dyDescent="0.15">
      <c r="U117" s="164"/>
    </row>
    <row r="118" spans="21:21" ht="15" customHeight="1" x14ac:dyDescent="0.15">
      <c r="U118" s="164"/>
    </row>
    <row r="119" spans="21:21" ht="15" customHeight="1" x14ac:dyDescent="0.15">
      <c r="U119" s="164"/>
    </row>
    <row r="120" spans="21:21" ht="15" customHeight="1" x14ac:dyDescent="0.15">
      <c r="U120" s="164"/>
    </row>
    <row r="122" spans="21:21" ht="15" customHeight="1" x14ac:dyDescent="0.15">
      <c r="U122" s="164"/>
    </row>
    <row r="123" spans="21:21" ht="15" customHeight="1" x14ac:dyDescent="0.15">
      <c r="U123" s="164"/>
    </row>
    <row r="124" spans="21:21" ht="15" customHeight="1" x14ac:dyDescent="0.15">
      <c r="U124" s="164"/>
    </row>
    <row r="125" spans="21:21" ht="15" customHeight="1" x14ac:dyDescent="0.15">
      <c r="U125" s="164"/>
    </row>
    <row r="126" spans="21:21" ht="15" customHeight="1" x14ac:dyDescent="0.15">
      <c r="U126" s="164"/>
    </row>
    <row r="127" spans="21:21" ht="15" customHeight="1" x14ac:dyDescent="0.15">
      <c r="U127" s="164"/>
    </row>
    <row r="128" spans="21:21" ht="15" customHeight="1" x14ac:dyDescent="0.15">
      <c r="U128" s="164"/>
    </row>
    <row r="129" spans="21:21" ht="15" customHeight="1" x14ac:dyDescent="0.15">
      <c r="U129" s="164"/>
    </row>
    <row r="130" spans="21:21" ht="15" customHeight="1" x14ac:dyDescent="0.15">
      <c r="U130" s="164"/>
    </row>
    <row r="131" spans="21:21" ht="15" customHeight="1" x14ac:dyDescent="0.15">
      <c r="U131" s="164"/>
    </row>
    <row r="132" spans="21:21" ht="15" customHeight="1" x14ac:dyDescent="0.15">
      <c r="U132" s="164"/>
    </row>
    <row r="133" spans="21:21" ht="15" customHeight="1" x14ac:dyDescent="0.15">
      <c r="U133" s="164"/>
    </row>
    <row r="134" spans="21:21" ht="15" customHeight="1" x14ac:dyDescent="0.15">
      <c r="U134" s="164"/>
    </row>
    <row r="135" spans="21:21" ht="15" customHeight="1" x14ac:dyDescent="0.15">
      <c r="U135" s="164"/>
    </row>
    <row r="136" spans="21:21" ht="15" customHeight="1" x14ac:dyDescent="0.15">
      <c r="U136" s="164"/>
    </row>
    <row r="137" spans="21:21" ht="15" customHeight="1" x14ac:dyDescent="0.15">
      <c r="U137" s="164"/>
    </row>
    <row r="138" spans="21:21" ht="15" customHeight="1" x14ac:dyDescent="0.15">
      <c r="U138" s="164"/>
    </row>
    <row r="139" spans="21:21" ht="15" customHeight="1" x14ac:dyDescent="0.15">
      <c r="U139" s="164"/>
    </row>
    <row r="140" spans="21:21" ht="15" customHeight="1" x14ac:dyDescent="0.15">
      <c r="U140" s="164"/>
    </row>
    <row r="141" spans="21:21" ht="15" customHeight="1" x14ac:dyDescent="0.15">
      <c r="U141" s="164"/>
    </row>
    <row r="142" spans="21:21" ht="15" customHeight="1" x14ac:dyDescent="0.15">
      <c r="U142" s="164"/>
    </row>
    <row r="143" spans="21:21" ht="15" customHeight="1" x14ac:dyDescent="0.15">
      <c r="U143" s="164"/>
    </row>
    <row r="144" spans="21:21" ht="15" customHeight="1" x14ac:dyDescent="0.15">
      <c r="U144" s="164"/>
    </row>
    <row r="145" spans="21:21" ht="15" customHeight="1" x14ac:dyDescent="0.15">
      <c r="U145" s="164"/>
    </row>
    <row r="146" spans="21:21" ht="15" customHeight="1" x14ac:dyDescent="0.15">
      <c r="U146" s="164"/>
    </row>
    <row r="147" spans="21:21" ht="15" customHeight="1" x14ac:dyDescent="0.15">
      <c r="U147" s="164"/>
    </row>
    <row r="148" spans="21:21" ht="15" customHeight="1" x14ac:dyDescent="0.15">
      <c r="U148" s="164"/>
    </row>
    <row r="149" spans="21:21" ht="15" customHeight="1" x14ac:dyDescent="0.15">
      <c r="U149" s="164"/>
    </row>
    <row r="150" spans="21:21" ht="15" customHeight="1" x14ac:dyDescent="0.15">
      <c r="U150" s="164"/>
    </row>
    <row r="151" spans="21:21" ht="15" customHeight="1" x14ac:dyDescent="0.15">
      <c r="U151" s="164"/>
    </row>
    <row r="152" spans="21:21" ht="15" customHeight="1" x14ac:dyDescent="0.15">
      <c r="U152" s="164"/>
    </row>
    <row r="153" spans="21:21" ht="15" customHeight="1" x14ac:dyDescent="0.15">
      <c r="U153" s="164"/>
    </row>
    <row r="154" spans="21:21" ht="15" customHeight="1" x14ac:dyDescent="0.15">
      <c r="U154" s="164"/>
    </row>
    <row r="155" spans="21:21" ht="15" customHeight="1" x14ac:dyDescent="0.15">
      <c r="U155" s="164"/>
    </row>
    <row r="156" spans="21:21" ht="15" customHeight="1" x14ac:dyDescent="0.15">
      <c r="U156" s="164"/>
    </row>
    <row r="157" spans="21:21" ht="15" customHeight="1" x14ac:dyDescent="0.15">
      <c r="U157" s="164"/>
    </row>
    <row r="158" spans="21:21" ht="15" customHeight="1" x14ac:dyDescent="0.15">
      <c r="U158" s="164"/>
    </row>
    <row r="159" spans="21:21" ht="15" customHeight="1" x14ac:dyDescent="0.15">
      <c r="U159" s="164"/>
    </row>
  </sheetData>
  <mergeCells count="9">
    <mergeCell ref="C35:H35"/>
    <mergeCell ref="H3:J3"/>
    <mergeCell ref="D3:E3"/>
    <mergeCell ref="H7:J7"/>
    <mergeCell ref="P7:R7"/>
    <mergeCell ref="D7:E7"/>
    <mergeCell ref="C1:D1"/>
    <mergeCell ref="H5:J5"/>
    <mergeCell ref="D5:E5"/>
  </mergeCells>
  <conditionalFormatting sqref="C9">
    <cfRule type="expression" dxfId="95" priority="70">
      <formula>C9="CURRENCY"</formula>
    </cfRule>
    <cfRule type="containsText" dxfId="94" priority="69" operator="containsText" text="SELECT">
      <formula>NOT(ISERROR(SEARCH("SELECT",C9)))</formula>
    </cfRule>
  </conditionalFormatting>
  <conditionalFormatting sqref="C14:C32">
    <cfRule type="expression" dxfId="93" priority="12">
      <formula>$J14&gt;0</formula>
    </cfRule>
  </conditionalFormatting>
  <conditionalFormatting sqref="C36:C46">
    <cfRule type="expression" dxfId="92" priority="11">
      <formula>$D36&gt;0</formula>
    </cfRule>
  </conditionalFormatting>
  <conditionalFormatting sqref="D36:D37 D39:D46">
    <cfRule type="cellIs" dxfId="91" priority="72" operator="lessThan">
      <formula>1</formula>
    </cfRule>
  </conditionalFormatting>
  <conditionalFormatting sqref="D38">
    <cfRule type="cellIs" dxfId="90" priority="59" operator="lessThan">
      <formula>1</formula>
    </cfRule>
  </conditionalFormatting>
  <conditionalFormatting sqref="D9:E9">
    <cfRule type="cellIs" dxfId="89" priority="66" operator="greaterThan">
      <formula>0</formula>
    </cfRule>
    <cfRule type="cellIs" dxfId="88" priority="65" operator="lessThan">
      <formula>0</formula>
    </cfRule>
  </conditionalFormatting>
  <conditionalFormatting sqref="F12">
    <cfRule type="cellIs" dxfId="87" priority="83" operator="greaterThan">
      <formula>2000</formula>
    </cfRule>
    <cfRule type="expression" dxfId="86" priority="82">
      <formula>ISNUMBER(SEARCH("I-MUAP",$E$14))</formula>
    </cfRule>
    <cfRule type="expression" dxfId="85" priority="81">
      <formula>AND((ISNUMBER(SEARCH("I-MUAP",$E$14))),F12&lt;2500)</formula>
    </cfRule>
  </conditionalFormatting>
  <conditionalFormatting sqref="F12:G12">
    <cfRule type="cellIs" dxfId="84" priority="76" operator="lessThan">
      <formula>1000</formula>
    </cfRule>
  </conditionalFormatting>
  <conditionalFormatting sqref="F14:G26">
    <cfRule type="cellIs" dxfId="83" priority="3" operator="lessThan">
      <formula>1000</formula>
    </cfRule>
  </conditionalFormatting>
  <conditionalFormatting sqref="G12">
    <cfRule type="cellIs" dxfId="82" priority="77" operator="greaterThan">
      <formula>3001</formula>
    </cfRule>
  </conditionalFormatting>
  <conditionalFormatting sqref="H11">
    <cfRule type="expression" dxfId="81" priority="79">
      <formula>((G14-50)/I14)&lt;950</formula>
    </cfRule>
  </conditionalFormatting>
  <conditionalFormatting sqref="H12">
    <cfRule type="expression" dxfId="80" priority="78">
      <formula>((G14-50)/I14)&lt;950</formula>
    </cfRule>
  </conditionalFormatting>
  <conditionalFormatting sqref="H14:H26">
    <cfRule type="cellIs" dxfId="79" priority="5" operator="lessThan">
      <formula>400</formula>
    </cfRule>
  </conditionalFormatting>
  <conditionalFormatting sqref="H33">
    <cfRule type="expression" dxfId="78" priority="90">
      <formula>((#REF!-50)/#REF!)&lt;950</formula>
    </cfRule>
  </conditionalFormatting>
  <conditionalFormatting sqref="J14:J30">
    <cfRule type="cellIs" dxfId="77" priority="18" operator="greaterThan">
      <formula>0</formula>
    </cfRule>
  </conditionalFormatting>
  <conditionalFormatting sqref="J36:J46">
    <cfRule type="expression" dxfId="76" priority="51">
      <formula>D36&gt;0</formula>
    </cfRule>
  </conditionalFormatting>
  <conditionalFormatting sqref="J48:J54">
    <cfRule type="expression" dxfId="75" priority="56">
      <formula>#REF!="EURO"</formula>
    </cfRule>
  </conditionalFormatting>
  <conditionalFormatting sqref="K14:K32">
    <cfRule type="cellIs" dxfId="74" priority="1" operator="greaterThan">
      <formula>0</formula>
    </cfRule>
  </conditionalFormatting>
  <conditionalFormatting sqref="K36:K46">
    <cfRule type="cellIs" dxfId="73" priority="58" operator="greaterThan">
      <formula>0</formula>
    </cfRule>
  </conditionalFormatting>
  <conditionalFormatting sqref="K48:K54">
    <cfRule type="expression" dxfId="72" priority="52">
      <formula>$C$9="PLN"</formula>
    </cfRule>
    <cfRule type="expression" dxfId="71" priority="53">
      <formula>$C$9="CZK"</formula>
    </cfRule>
    <cfRule type="expression" dxfId="70" priority="54">
      <formula>$C$9="USD"</formula>
    </cfRule>
    <cfRule type="expression" dxfId="69" priority="55">
      <formula>$C$9="EURO"</formula>
    </cfRule>
  </conditionalFormatting>
  <conditionalFormatting sqref="L14:L32">
    <cfRule type="expression" dxfId="68" priority="16">
      <formula>$D$9&lt;0</formula>
    </cfRule>
    <cfRule type="expression" dxfId="67" priority="17">
      <formula>$D$9&gt;0</formula>
    </cfRule>
  </conditionalFormatting>
  <conditionalFormatting sqref="L36:L46">
    <cfRule type="expression" dxfId="66" priority="15">
      <formula>$D$9&gt;0</formula>
    </cfRule>
    <cfRule type="expression" dxfId="65" priority="14">
      <formula>$D$9&lt;0</formula>
    </cfRule>
  </conditionalFormatting>
  <conditionalFormatting sqref="N9 N12">
    <cfRule type="expression" dxfId="64" priority="84">
      <formula>$C$9="PLN"</formula>
    </cfRule>
    <cfRule type="expression" dxfId="63" priority="85">
      <formula>$C$9="CZK"</formula>
    </cfRule>
    <cfRule type="expression" dxfId="62" priority="86">
      <formula>$C$9="USD"</formula>
    </cfRule>
    <cfRule type="expression" dxfId="61" priority="87">
      <formula>$C$9="EURO"</formula>
    </cfRule>
  </conditionalFormatting>
  <conditionalFormatting sqref="N14:N32">
    <cfRule type="expression" dxfId="60" priority="25">
      <formula>$C$9="EURO"</formula>
    </cfRule>
    <cfRule type="expression" dxfId="59" priority="24">
      <formula>$C$9="USD"</formula>
    </cfRule>
    <cfRule type="expression" dxfId="58" priority="23">
      <formula>$C$9="CZK"</formula>
    </cfRule>
    <cfRule type="expression" dxfId="57" priority="22">
      <formula>$C$9="PLN"</formula>
    </cfRule>
  </conditionalFormatting>
  <conditionalFormatting sqref="N18:N20">
    <cfRule type="cellIs" dxfId="56" priority="33" operator="greaterThan">
      <formula>0</formula>
    </cfRule>
  </conditionalFormatting>
  <conditionalFormatting sqref="N35:N46">
    <cfRule type="expression" dxfId="55" priority="10">
      <formula>$C$9="EURO"</formula>
    </cfRule>
    <cfRule type="expression" dxfId="54" priority="9">
      <formula>$C$9="USD"</formula>
    </cfRule>
    <cfRule type="expression" dxfId="53" priority="8">
      <formula>$C$9="CZK"</formula>
    </cfRule>
    <cfRule type="expression" dxfId="52" priority="7">
      <formula>$C$9="PLN"</formula>
    </cfRule>
  </conditionalFormatting>
  <conditionalFormatting sqref="N14:O32">
    <cfRule type="cellIs" dxfId="51" priority="21" operator="greaterThan">
      <formula>0</formula>
    </cfRule>
  </conditionalFormatting>
  <conditionalFormatting sqref="N36:O46">
    <cfRule type="cellIs" dxfId="50" priority="6" operator="greaterThan">
      <formula>0</formula>
    </cfRule>
  </conditionalFormatting>
  <conditionalFormatting sqref="O14:O20">
    <cfRule type="cellIs" dxfId="49" priority="38" operator="greaterThan">
      <formula>0</formula>
    </cfRule>
  </conditionalFormatting>
  <dataValidations count="3">
    <dataValidation type="list" allowBlank="1" showInputMessage="1" showErrorMessage="1" sqref="H34" xr:uid="{00000000-0002-0000-A700-000000000000}">
      <formula1>#REF!</formula1>
    </dataValidation>
    <dataValidation operator="greaterThan" allowBlank="1" showInputMessage="1" showErrorMessage="1" sqref="F14:F26" xr:uid="{00000000-0002-0000-A700-000001000000}"/>
    <dataValidation type="list" allowBlank="1" showInputMessage="1" showErrorMessage="1" sqref="E14:E32" xr:uid="{00000000-0002-0000-A700-000002000000}">
      <formula1>"0,1,2,3,4,5,6,7,8,9,10,11,12,13,14,15,16,17,18,19,20"</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150" customWidth="1"/>
    <col min="4" max="4" width="32.33203125" style="152" customWidth="1"/>
    <col min="5" max="5" width="39.83203125" style="152" customWidth="1"/>
    <col min="6" max="6" width="27.1640625" style="152" customWidth="1"/>
    <col min="7" max="7" width="26.6640625" style="152" customWidth="1"/>
    <col min="8" max="8" width="18.83203125" style="152" customWidth="1"/>
    <col min="9" max="9" width="25" style="152" bestFit="1" customWidth="1"/>
    <col min="10" max="10" width="10" style="168" bestFit="1" customWidth="1"/>
    <col min="11" max="11" width="14.83203125" style="267" bestFit="1" customWidth="1"/>
    <col min="12" max="12" width="17.5" style="163" customWidth="1"/>
    <col min="13" max="13" width="6.6640625" style="163" customWidth="1"/>
    <col min="14" max="14" width="15.5" style="265" hidden="1" customWidth="1"/>
    <col min="15" max="15" width="14.5" style="267" bestFit="1" customWidth="1"/>
    <col min="16" max="16" width="13.6640625" style="14" bestFit="1" customWidth="1"/>
    <col min="17" max="18" width="8.83203125" style="152" customWidth="1"/>
    <col min="19" max="19" width="18.6640625" style="152" customWidth="1"/>
    <col min="20" max="27" width="8.83203125" style="152" customWidth="1"/>
    <col min="28" max="28" width="8.83203125" style="154" customWidth="1"/>
    <col min="29" max="30" width="8.83203125" style="152" customWidth="1"/>
    <col min="31" max="31" width="8.83203125" style="155" customWidth="1"/>
    <col min="32" max="101" width="8.83203125" style="152" customWidth="1"/>
    <col min="102" max="16384" width="8.83203125" style="152"/>
  </cols>
  <sheetData>
    <row r="1" spans="1:29" ht="15" customHeight="1" x14ac:dyDescent="0.15">
      <c r="D1" s="988" t="s">
        <v>739</v>
      </c>
      <c r="E1" s="934"/>
      <c r="F1" s="151"/>
      <c r="G1" s="151"/>
      <c r="H1" s="151"/>
      <c r="I1" s="151"/>
      <c r="J1" s="29"/>
      <c r="K1" s="255"/>
      <c r="L1" s="256"/>
      <c r="M1" s="257"/>
      <c r="N1" s="258"/>
      <c r="O1" s="255"/>
      <c r="P1" s="489">
        <v>44409</v>
      </c>
      <c r="T1" s="75"/>
      <c r="U1" s="153"/>
    </row>
    <row r="2" spans="1:29" ht="15" customHeight="1" x14ac:dyDescent="0.15">
      <c r="D2" s="74"/>
      <c r="E2" s="156"/>
      <c r="F2" s="156"/>
      <c r="H2" s="74"/>
      <c r="I2" s="72"/>
      <c r="J2" s="157"/>
      <c r="K2" s="259"/>
      <c r="L2" s="260"/>
      <c r="M2" s="261"/>
      <c r="N2" s="262"/>
      <c r="O2" s="263"/>
      <c r="U2" s="160"/>
      <c r="Z2" s="161"/>
    </row>
    <row r="3" spans="1:29" ht="15" customHeight="1" x14ac:dyDescent="0.15">
      <c r="D3" s="73" t="s">
        <v>2</v>
      </c>
      <c r="E3" s="995" t="e">
        <f>IF([17]CANOPY!C3="","",[17]CANOPY!C3)</f>
        <v>#REF!</v>
      </c>
      <c r="F3" s="934"/>
      <c r="H3" s="71" t="s">
        <v>4</v>
      </c>
      <c r="I3" s="935" t="e">
        <f>IF([17]CANOPY!G3="","",[17]CANOPY!G3)</f>
        <v>#REF!</v>
      </c>
      <c r="J3" s="936"/>
      <c r="K3" s="937"/>
      <c r="M3" s="261"/>
      <c r="N3" s="262"/>
      <c r="O3" s="263"/>
      <c r="U3" s="160"/>
    </row>
    <row r="4" spans="1:29" ht="15" customHeight="1" x14ac:dyDescent="0.15">
      <c r="D4" s="74"/>
      <c r="E4" s="158"/>
      <c r="F4" s="158"/>
      <c r="H4" s="72"/>
      <c r="I4" s="157"/>
      <c r="J4" s="162"/>
      <c r="K4" s="260"/>
      <c r="M4" s="261"/>
      <c r="N4" s="262"/>
      <c r="O4" s="263"/>
      <c r="U4" s="160"/>
    </row>
    <row r="5" spans="1:29" ht="15" customHeight="1" x14ac:dyDescent="0.15">
      <c r="D5" s="73" t="s">
        <v>6</v>
      </c>
      <c r="E5" s="938" t="e">
        <f>IF([17]CANOPY!C5="","",[17]CANOPY!C5)</f>
        <v>#REF!</v>
      </c>
      <c r="F5" s="934"/>
      <c r="H5" s="71" t="s">
        <v>8</v>
      </c>
      <c r="I5" s="935" t="e">
        <f>IF([17]CANOPY!G5="","",[17]CANOPY!G5)</f>
        <v>#REF!</v>
      </c>
      <c r="J5" s="936"/>
      <c r="K5" s="937"/>
      <c r="N5" s="262"/>
      <c r="O5" s="263"/>
      <c r="R5" s="164"/>
      <c r="S5" s="164"/>
      <c r="U5" s="160"/>
      <c r="V5" s="161"/>
    </row>
    <row r="6" spans="1:29" ht="15" customHeight="1" x14ac:dyDescent="0.15">
      <c r="D6" s="73"/>
      <c r="E6" s="165"/>
      <c r="F6" s="165"/>
      <c r="H6" s="71"/>
      <c r="I6" s="157"/>
      <c r="J6" s="74"/>
      <c r="K6" s="264"/>
      <c r="M6" s="261"/>
      <c r="N6" s="262"/>
      <c r="O6" s="263"/>
      <c r="R6" s="164"/>
      <c r="S6" s="164"/>
      <c r="U6" s="160"/>
      <c r="V6" s="161"/>
      <c r="AB6" s="166"/>
    </row>
    <row r="7" spans="1:29" ht="15" customHeight="1" x14ac:dyDescent="0.15">
      <c r="D7" s="75" t="s">
        <v>10</v>
      </c>
      <c r="E7" s="1004"/>
      <c r="F7" s="934"/>
      <c r="H7" s="71" t="s">
        <v>12</v>
      </c>
      <c r="I7" s="939" t="e">
        <f>IF([17]CANOPY!G7="","",[17]CANOPY!G7)</f>
        <v>#REF!</v>
      </c>
      <c r="J7" s="936"/>
      <c r="K7" s="937"/>
      <c r="O7" s="266" t="s">
        <v>14</v>
      </c>
      <c r="P7" s="493"/>
      <c r="Q7" s="167"/>
      <c r="S7" s="159"/>
      <c r="U7" s="160"/>
      <c r="V7" s="161"/>
      <c r="AB7" s="166"/>
    </row>
    <row r="8" spans="1:29" ht="15" customHeight="1" x14ac:dyDescent="0.15">
      <c r="F8" s="154"/>
      <c r="G8" s="154"/>
      <c r="I8" s="154"/>
      <c r="K8" s="265"/>
      <c r="L8" s="14"/>
      <c r="U8" s="160"/>
      <c r="AB8" s="166"/>
    </row>
    <row r="9" spans="1:29" s="75" customFormat="1" ht="15" customHeight="1" x14ac:dyDescent="0.15">
      <c r="A9" s="150"/>
      <c r="B9" s="150"/>
      <c r="C9" s="150"/>
      <c r="D9" s="38" t="s">
        <v>15</v>
      </c>
      <c r="E9" s="292">
        <v>0.03</v>
      </c>
      <c r="F9" s="294" t="e">
        <f>IF(E9=0,0,(SUBTOTAL(9,N14:N46)/(1-E9))-N9)</f>
        <v>#N/A</v>
      </c>
      <c r="J9" s="169"/>
      <c r="L9" s="25" t="e">
        <f>SUBTOTAL(9,L12:L46)</f>
        <v>#N/A</v>
      </c>
      <c r="M9" s="15" t="e">
        <f>IF(P9=0,"-",P9/N9)</f>
        <v>#N/A</v>
      </c>
      <c r="N9" s="25" t="e">
        <f>SUBTOTAL(9,N12:N46)</f>
        <v>#N/A</v>
      </c>
      <c r="O9" s="381" t="e">
        <f>SUBTOTAL(9,O12:O46)</f>
        <v>#N/A</v>
      </c>
      <c r="P9" s="25" t="e">
        <f>SUBTOTAL(9,P12:P46)</f>
        <v>#N/A</v>
      </c>
      <c r="Q9" s="152"/>
      <c r="R9" s="152"/>
      <c r="S9" s="152"/>
      <c r="T9" s="152"/>
      <c r="U9" s="152"/>
      <c r="V9" s="152"/>
      <c r="W9" s="152"/>
      <c r="AA9" s="152"/>
      <c r="AB9" s="152"/>
      <c r="AC9" s="152"/>
    </row>
    <row r="10" spans="1:29" s="75" customFormat="1" ht="15" customHeight="1" x14ac:dyDescent="0.15">
      <c r="A10" s="150"/>
      <c r="B10" s="150"/>
      <c r="C10" s="150"/>
      <c r="D10" s="6" t="s">
        <v>15</v>
      </c>
      <c r="E10" s="6" t="s">
        <v>16</v>
      </c>
      <c r="F10" s="6" t="s">
        <v>17</v>
      </c>
      <c r="G10" s="6"/>
      <c r="H10" s="6"/>
      <c r="I10" s="6"/>
      <c r="J10" s="6"/>
      <c r="K10" s="1" t="s">
        <v>52</v>
      </c>
      <c r="L10" s="2" t="s">
        <v>18</v>
      </c>
      <c r="M10" s="3" t="s">
        <v>19</v>
      </c>
      <c r="N10" s="4" t="s">
        <v>20</v>
      </c>
      <c r="O10" s="1" t="s">
        <v>21</v>
      </c>
      <c r="P10" s="5" t="s">
        <v>22</v>
      </c>
      <c r="Q10" s="152"/>
      <c r="R10" s="152"/>
      <c r="S10" s="152"/>
      <c r="T10" s="152"/>
      <c r="U10" s="152"/>
      <c r="V10" s="170"/>
      <c r="W10" s="152"/>
      <c r="AA10" s="152"/>
      <c r="AB10" s="152"/>
      <c r="AC10" s="152"/>
    </row>
    <row r="11" spans="1:29" s="75" customFormat="1" ht="15" customHeight="1" x14ac:dyDescent="0.15">
      <c r="A11" s="150"/>
      <c r="B11" s="150"/>
      <c r="C11" s="150"/>
      <c r="D11" s="9"/>
      <c r="E11" s="9"/>
      <c r="F11" s="9"/>
      <c r="G11" s="9"/>
      <c r="H11" s="9"/>
      <c r="I11" s="34" t="s">
        <v>23</v>
      </c>
      <c r="J11" s="9"/>
      <c r="K11" s="11"/>
      <c r="L11" s="8"/>
      <c r="M11" s="12"/>
      <c r="N11" s="13"/>
      <c r="O11" s="11"/>
      <c r="P11" s="14"/>
      <c r="Q11" s="152"/>
      <c r="R11" s="152"/>
      <c r="S11" s="152"/>
      <c r="T11" s="152"/>
      <c r="U11" s="152"/>
      <c r="V11" s="170"/>
      <c r="W11" s="152"/>
      <c r="AA11" s="152"/>
      <c r="AB11" s="152"/>
      <c r="AC11" s="152"/>
    </row>
    <row r="12" spans="1:29" s="75" customFormat="1" ht="15" customHeight="1" x14ac:dyDescent="0.15">
      <c r="A12" s="150"/>
      <c r="B12" s="150"/>
      <c r="C12" s="150"/>
      <c r="D12" s="176" t="s">
        <v>86</v>
      </c>
      <c r="E12" s="171"/>
      <c r="F12" s="172">
        <f>F14</f>
        <v>0</v>
      </c>
      <c r="G12" s="725">
        <v>0</v>
      </c>
      <c r="H12" s="725">
        <f>IF(J12&lt;1,0,CEILING((H14-100)/J14,250))</f>
        <v>0</v>
      </c>
      <c r="I12" s="172" t="str">
        <f>F12&amp;H12&amp;G12</f>
        <v>000</v>
      </c>
      <c r="J12" s="171">
        <f>IF(G14=0,0,IF(H14=0,0,(G14/(IF(E14="WALL",G14,(G14/2)))*J14)))</f>
        <v>0</v>
      </c>
      <c r="K12" s="173"/>
      <c r="L12" s="123">
        <f>SUBTOTAL(9,L14:L32)</f>
        <v>0</v>
      </c>
      <c r="M12" s="15" t="str">
        <f>IF(L14=0,"-",P12/N12)</f>
        <v>-</v>
      </c>
      <c r="N12" s="123">
        <f>SUBTOTAL(9,N14:N30)</f>
        <v>0</v>
      </c>
      <c r="O12" s="381">
        <f>SUBTOTAL(9,O14:O32)</f>
        <v>0</v>
      </c>
      <c r="P12" s="123">
        <f>SUBTOTAL(9,P14:P32)</f>
        <v>0</v>
      </c>
      <c r="Q12" s="152"/>
      <c r="R12" s="152"/>
      <c r="S12" s="152"/>
      <c r="T12" s="152"/>
      <c r="U12" s="152"/>
      <c r="V12" s="170"/>
      <c r="W12" s="152"/>
      <c r="AA12" s="152"/>
      <c r="AB12" s="152"/>
      <c r="AC12" s="152"/>
    </row>
    <row r="13" spans="1:29" ht="15" customHeight="1" x14ac:dyDescent="0.15">
      <c r="D13" s="7"/>
      <c r="E13" s="10" t="s">
        <v>54</v>
      </c>
      <c r="F13" s="27" t="s">
        <v>661</v>
      </c>
      <c r="G13" s="10" t="s">
        <v>56</v>
      </c>
      <c r="H13" s="10" t="s">
        <v>57</v>
      </c>
      <c r="I13" s="10" t="s">
        <v>58</v>
      </c>
      <c r="J13" s="10" t="s">
        <v>59</v>
      </c>
      <c r="K13" s="268"/>
      <c r="L13" s="269"/>
      <c r="M13" s="269"/>
      <c r="N13" s="270"/>
      <c r="O13" s="271"/>
      <c r="P13" s="5"/>
      <c r="V13" s="164"/>
      <c r="AB13" s="152"/>
    </row>
    <row r="14" spans="1:29" ht="15" customHeight="1" x14ac:dyDescent="0.2">
      <c r="A14" s="150">
        <v>210</v>
      </c>
      <c r="D14" s="204" t="s">
        <v>740</v>
      </c>
      <c r="E14" s="377" t="s">
        <v>705</v>
      </c>
      <c r="F14" s="365">
        <v>0</v>
      </c>
      <c r="G14" s="759">
        <v>350</v>
      </c>
      <c r="H14" s="722">
        <v>1400</v>
      </c>
      <c r="I14" s="761">
        <v>350</v>
      </c>
      <c r="J14" s="31"/>
      <c r="K14" s="297">
        <v>1357</v>
      </c>
      <c r="L14" s="295">
        <f t="shared" ref="L14:L32" si="0">SUM(K14*F14)</f>
        <v>0</v>
      </c>
      <c r="M14" s="309">
        <v>0.435</v>
      </c>
      <c r="N14" s="234">
        <f t="shared" ref="N14:N32" si="1">(L14/(1-M14))*(1+$E$9)</f>
        <v>0</v>
      </c>
      <c r="O14" s="295">
        <f>(N14*VLOOKUP($D$9,'Base Costs'!$A$32:$B$37,2,FALSE))</f>
        <v>0</v>
      </c>
      <c r="P14" s="296">
        <f t="shared" ref="P14:P32" si="2">N14-L14</f>
        <v>0</v>
      </c>
      <c r="V14" s="164"/>
      <c r="AB14" s="152"/>
    </row>
    <row r="15" spans="1:29" ht="15" customHeight="1" x14ac:dyDescent="0.2">
      <c r="A15" s="150">
        <v>104</v>
      </c>
      <c r="D15" s="204" t="s">
        <v>741</v>
      </c>
      <c r="E15" s="377" t="s">
        <v>692</v>
      </c>
      <c r="F15" s="365">
        <v>0</v>
      </c>
      <c r="G15" s="759">
        <v>500</v>
      </c>
      <c r="H15" s="722">
        <v>1400</v>
      </c>
      <c r="I15" s="723">
        <v>500</v>
      </c>
      <c r="J15" s="31"/>
      <c r="K15" s="297">
        <v>2006</v>
      </c>
      <c r="L15" s="295">
        <f t="shared" si="0"/>
        <v>0</v>
      </c>
      <c r="M15" s="309">
        <v>0.435</v>
      </c>
      <c r="N15" s="234">
        <f t="shared" si="1"/>
        <v>0</v>
      </c>
      <c r="O15" s="295">
        <f>(N15*VLOOKUP($D$9,'Base Costs'!$A$32:$B$37,2,FALSE))</f>
        <v>0</v>
      </c>
      <c r="P15" s="296">
        <f t="shared" si="2"/>
        <v>0</v>
      </c>
      <c r="V15" s="164"/>
      <c r="AB15" s="152"/>
    </row>
    <row r="16" spans="1:29" ht="15" customHeight="1" x14ac:dyDescent="0.2">
      <c r="A16" s="150">
        <v>234</v>
      </c>
      <c r="D16" s="204" t="s">
        <v>742</v>
      </c>
      <c r="E16" s="377" t="s">
        <v>743</v>
      </c>
      <c r="F16" s="378">
        <v>0</v>
      </c>
      <c r="G16" s="759">
        <v>600</v>
      </c>
      <c r="H16" s="722">
        <v>1400</v>
      </c>
      <c r="I16" s="723">
        <v>600</v>
      </c>
      <c r="J16" s="31"/>
      <c r="K16" s="297">
        <v>2610</v>
      </c>
      <c r="L16" s="295">
        <f t="shared" si="0"/>
        <v>0</v>
      </c>
      <c r="M16" s="309">
        <v>0.2</v>
      </c>
      <c r="N16" s="234">
        <f t="shared" si="1"/>
        <v>0</v>
      </c>
      <c r="O16" s="295">
        <f>(N16*VLOOKUP($D$9,'Base Costs'!$A$32:$B$37,2,FALSE))</f>
        <v>0</v>
      </c>
      <c r="P16" s="296">
        <f t="shared" si="2"/>
        <v>0</v>
      </c>
      <c r="V16" s="164"/>
      <c r="AB16" s="152"/>
    </row>
    <row r="17" spans="1:28" ht="15" customHeight="1" x14ac:dyDescent="0.2">
      <c r="D17" s="204" t="s">
        <v>744</v>
      </c>
      <c r="E17" s="377" t="s">
        <v>745</v>
      </c>
      <c r="F17" s="365">
        <v>0</v>
      </c>
      <c r="G17" s="759">
        <v>700</v>
      </c>
      <c r="H17" s="722">
        <v>1900</v>
      </c>
      <c r="I17" s="723">
        <v>700</v>
      </c>
      <c r="J17" s="31"/>
      <c r="K17" s="297">
        <v>3232</v>
      </c>
      <c r="L17" s="295">
        <f t="shared" si="0"/>
        <v>0</v>
      </c>
      <c r="M17" s="309">
        <v>0.435</v>
      </c>
      <c r="N17" s="234">
        <f t="shared" si="1"/>
        <v>0</v>
      </c>
      <c r="O17" s="295">
        <f>(N17*VLOOKUP($D$9,'Base Costs'!$A$32:$B$37,2,FALSE))</f>
        <v>0</v>
      </c>
      <c r="P17" s="296">
        <f t="shared" si="2"/>
        <v>0</v>
      </c>
      <c r="V17" s="164"/>
      <c r="AB17" s="152"/>
    </row>
    <row r="18" spans="1:28" ht="15" customHeight="1" x14ac:dyDescent="0.2">
      <c r="D18" s="204" t="s">
        <v>746</v>
      </c>
      <c r="E18" s="377" t="s">
        <v>747</v>
      </c>
      <c r="F18" s="365">
        <v>0</v>
      </c>
      <c r="G18" s="759">
        <v>750</v>
      </c>
      <c r="H18" s="722">
        <v>1900</v>
      </c>
      <c r="I18" s="723">
        <v>750</v>
      </c>
      <c r="J18" s="31"/>
      <c r="K18" s="297">
        <v>3850</v>
      </c>
      <c r="L18" s="295">
        <f t="shared" si="0"/>
        <v>0</v>
      </c>
      <c r="M18" s="309">
        <v>0.435</v>
      </c>
      <c r="N18" s="234">
        <f t="shared" si="1"/>
        <v>0</v>
      </c>
      <c r="O18" s="295">
        <f>(N18*VLOOKUP($D$9,'Base Costs'!$A$32:$B$37,2,FALSE))</f>
        <v>0</v>
      </c>
      <c r="P18" s="296">
        <f t="shared" si="2"/>
        <v>0</v>
      </c>
      <c r="V18" s="164"/>
      <c r="AB18" s="152"/>
    </row>
    <row r="19" spans="1:28" ht="15" customHeight="1" x14ac:dyDescent="0.2">
      <c r="D19" s="204" t="s">
        <v>748</v>
      </c>
      <c r="E19" s="377" t="s">
        <v>749</v>
      </c>
      <c r="F19" s="365">
        <v>0</v>
      </c>
      <c r="G19" s="759">
        <v>850</v>
      </c>
      <c r="H19" s="722">
        <v>1900</v>
      </c>
      <c r="I19" s="723">
        <v>850</v>
      </c>
      <c r="J19" s="31"/>
      <c r="K19" s="297">
        <v>4495</v>
      </c>
      <c r="L19" s="295">
        <f t="shared" si="0"/>
        <v>0</v>
      </c>
      <c r="M19" s="309">
        <v>0.435</v>
      </c>
      <c r="N19" s="234">
        <f t="shared" si="1"/>
        <v>0</v>
      </c>
      <c r="O19" s="295">
        <f>(N19*VLOOKUP($D$9,'Base Costs'!$A$32:$B$37,2,FALSE))</f>
        <v>0</v>
      </c>
      <c r="P19" s="296">
        <f t="shared" si="2"/>
        <v>0</v>
      </c>
      <c r="V19" s="164"/>
      <c r="AB19" s="152"/>
    </row>
    <row r="20" spans="1:28" ht="15" customHeight="1" x14ac:dyDescent="0.2">
      <c r="D20" s="204" t="s">
        <v>750</v>
      </c>
      <c r="E20" s="377" t="s">
        <v>751</v>
      </c>
      <c r="F20" s="365">
        <v>0</v>
      </c>
      <c r="G20" s="759">
        <v>925</v>
      </c>
      <c r="H20" s="722">
        <v>1900</v>
      </c>
      <c r="I20" s="723">
        <v>925</v>
      </c>
      <c r="J20" s="31"/>
      <c r="K20" s="297">
        <v>5052</v>
      </c>
      <c r="L20" s="295">
        <f t="shared" si="0"/>
        <v>0</v>
      </c>
      <c r="M20" s="309">
        <v>0.435</v>
      </c>
      <c r="N20" s="234">
        <f t="shared" si="1"/>
        <v>0</v>
      </c>
      <c r="O20" s="295">
        <f>(N20*VLOOKUP($D$9,'Base Costs'!$A$32:$B$37,2,FALSE))</f>
        <v>0</v>
      </c>
      <c r="P20" s="296">
        <f t="shared" si="2"/>
        <v>0</v>
      </c>
      <c r="V20" s="164"/>
      <c r="AB20" s="152"/>
    </row>
    <row r="21" spans="1:28" ht="15" customHeight="1" x14ac:dyDescent="0.2">
      <c r="A21" s="150">
        <v>289</v>
      </c>
      <c r="D21" s="204" t="s">
        <v>752</v>
      </c>
      <c r="E21" s="377" t="s">
        <v>753</v>
      </c>
      <c r="F21" s="365">
        <v>0</v>
      </c>
      <c r="G21" s="760">
        <v>1000</v>
      </c>
      <c r="H21" s="722">
        <v>1400</v>
      </c>
      <c r="I21" s="723">
        <v>1000</v>
      </c>
      <c r="J21" s="31"/>
      <c r="K21" s="297">
        <v>7496</v>
      </c>
      <c r="L21" s="295">
        <f t="shared" si="0"/>
        <v>0</v>
      </c>
      <c r="M21" s="309">
        <v>0.435</v>
      </c>
      <c r="N21" s="234">
        <f t="shared" si="1"/>
        <v>0</v>
      </c>
      <c r="O21" s="295">
        <f>(N21*VLOOKUP($D$9,'Base Costs'!$A$32:$B$37,2,FALSE))</f>
        <v>0</v>
      </c>
      <c r="P21" s="296">
        <f t="shared" si="2"/>
        <v>0</v>
      </c>
      <c r="V21" s="164"/>
      <c r="AB21" s="152"/>
    </row>
    <row r="22" spans="1:28" ht="15" customHeight="1" x14ac:dyDescent="0.2">
      <c r="A22" s="150">
        <v>242</v>
      </c>
      <c r="D22" s="770" t="s">
        <v>754</v>
      </c>
      <c r="E22" s="377" t="s">
        <v>707</v>
      </c>
      <c r="F22" s="365">
        <v>0</v>
      </c>
      <c r="G22" s="759">
        <v>350</v>
      </c>
      <c r="H22" s="722">
        <v>2000</v>
      </c>
      <c r="I22" s="723">
        <v>350</v>
      </c>
      <c r="J22" s="31"/>
      <c r="K22" s="297">
        <v>1281</v>
      </c>
      <c r="L22" s="295">
        <f t="shared" si="0"/>
        <v>0</v>
      </c>
      <c r="M22" s="309">
        <v>0.435</v>
      </c>
      <c r="N22" s="234">
        <f t="shared" si="1"/>
        <v>0</v>
      </c>
      <c r="O22" s="295">
        <f>(N22*VLOOKUP($D$9,'Base Costs'!$A$32:$B$37,2,FALSE))</f>
        <v>0</v>
      </c>
      <c r="P22" s="296">
        <f t="shared" si="2"/>
        <v>0</v>
      </c>
      <c r="V22" s="164"/>
      <c r="AB22" s="152"/>
    </row>
    <row r="23" spans="1:28" ht="15" customHeight="1" x14ac:dyDescent="0.2">
      <c r="A23" s="150">
        <v>220</v>
      </c>
      <c r="D23" s="771" t="s">
        <v>755</v>
      </c>
      <c r="E23" s="377" t="s">
        <v>709</v>
      </c>
      <c r="F23" s="365">
        <v>0</v>
      </c>
      <c r="G23" s="759">
        <v>500</v>
      </c>
      <c r="H23" s="722">
        <v>2000</v>
      </c>
      <c r="I23" s="723">
        <v>500</v>
      </c>
      <c r="J23" s="31"/>
      <c r="K23" s="297">
        <v>1420</v>
      </c>
      <c r="L23" s="295">
        <f t="shared" si="0"/>
        <v>0</v>
      </c>
      <c r="M23" s="309">
        <v>0.435</v>
      </c>
      <c r="N23" s="234">
        <f t="shared" si="1"/>
        <v>0</v>
      </c>
      <c r="O23" s="295">
        <f>(N23*VLOOKUP($D$9,'Base Costs'!$A$32:$B$37,2,FALSE))</f>
        <v>0</v>
      </c>
      <c r="P23" s="296">
        <f t="shared" si="2"/>
        <v>0</v>
      </c>
      <c r="V23" s="164"/>
      <c r="AB23" s="152"/>
    </row>
    <row r="24" spans="1:28" ht="15" customHeight="1" x14ac:dyDescent="0.2">
      <c r="A24" s="150">
        <v>103</v>
      </c>
      <c r="C24" s="150" t="s">
        <v>756</v>
      </c>
      <c r="D24" s="771" t="s">
        <v>757</v>
      </c>
      <c r="E24" s="377" t="s">
        <v>758</v>
      </c>
      <c r="F24" s="365">
        <v>0</v>
      </c>
      <c r="G24" s="759">
        <v>600</v>
      </c>
      <c r="H24" s="722">
        <v>2000</v>
      </c>
      <c r="I24" s="723">
        <v>600</v>
      </c>
      <c r="J24" s="31"/>
      <c r="K24" s="297">
        <v>2012</v>
      </c>
      <c r="L24" s="295">
        <f t="shared" si="0"/>
        <v>0</v>
      </c>
      <c r="M24" s="309">
        <v>0.435</v>
      </c>
      <c r="N24" s="234">
        <f t="shared" si="1"/>
        <v>0</v>
      </c>
      <c r="O24" s="295">
        <f>(N24*VLOOKUP($D$9,'Base Costs'!$A$32:$B$37,2,FALSE))</f>
        <v>0</v>
      </c>
      <c r="P24" s="296">
        <f t="shared" si="2"/>
        <v>0</v>
      </c>
      <c r="V24" s="164"/>
      <c r="AB24" s="152"/>
    </row>
    <row r="25" spans="1:28" ht="15" customHeight="1" x14ac:dyDescent="0.2">
      <c r="A25" s="150">
        <v>103</v>
      </c>
      <c r="D25" s="771" t="s">
        <v>759</v>
      </c>
      <c r="E25" s="377" t="s">
        <v>758</v>
      </c>
      <c r="F25" s="365">
        <v>0</v>
      </c>
      <c r="G25" s="759">
        <v>700</v>
      </c>
      <c r="H25" s="722">
        <v>2000</v>
      </c>
      <c r="I25" s="723">
        <v>600</v>
      </c>
      <c r="J25" s="31"/>
      <c r="K25" s="297">
        <v>2053</v>
      </c>
      <c r="L25" s="295">
        <f t="shared" si="0"/>
        <v>0</v>
      </c>
      <c r="M25" s="309">
        <v>0.435</v>
      </c>
      <c r="N25" s="234">
        <f t="shared" si="1"/>
        <v>0</v>
      </c>
      <c r="O25" s="295">
        <f>(N25*VLOOKUP($D$9,'Base Costs'!$A$32:$B$37,2,FALSE))</f>
        <v>0</v>
      </c>
      <c r="P25" s="296">
        <f t="shared" si="2"/>
        <v>0</v>
      </c>
      <c r="V25" s="164"/>
      <c r="AB25" s="152"/>
    </row>
    <row r="26" spans="1:28" ht="15" customHeight="1" x14ac:dyDescent="0.2">
      <c r="D26" s="771" t="s">
        <v>760</v>
      </c>
      <c r="E26" s="377" t="s">
        <v>761</v>
      </c>
      <c r="F26" s="365">
        <v>0</v>
      </c>
      <c r="G26" s="759">
        <v>750</v>
      </c>
      <c r="H26" s="722">
        <v>2000</v>
      </c>
      <c r="I26" s="723">
        <v>600</v>
      </c>
      <c r="J26" s="31"/>
      <c r="K26" s="297">
        <v>2272</v>
      </c>
      <c r="L26" s="295">
        <f t="shared" si="0"/>
        <v>0</v>
      </c>
      <c r="M26" s="309">
        <v>0.435</v>
      </c>
      <c r="N26" s="234">
        <f t="shared" si="1"/>
        <v>0</v>
      </c>
      <c r="O26" s="295">
        <f>(N26*VLOOKUP($D$9,'Base Costs'!$A$32:$B$37,2,FALSE))</f>
        <v>0</v>
      </c>
      <c r="P26" s="296">
        <f t="shared" si="2"/>
        <v>0</v>
      </c>
      <c r="V26" s="164"/>
      <c r="AB26" s="152"/>
    </row>
    <row r="27" spans="1:28" ht="15" customHeight="1" x14ac:dyDescent="0.15">
      <c r="A27" s="150">
        <v>285</v>
      </c>
      <c r="D27" s="771" t="s">
        <v>762</v>
      </c>
      <c r="E27" s="377" t="s">
        <v>763</v>
      </c>
      <c r="F27" s="365">
        <v>0</v>
      </c>
      <c r="G27" s="765">
        <v>850</v>
      </c>
      <c r="H27" s="764">
        <v>2000</v>
      </c>
      <c r="I27" s="768">
        <v>850</v>
      </c>
      <c r="J27" s="31"/>
      <c r="K27" s="297">
        <v>2946</v>
      </c>
      <c r="L27" s="295">
        <f t="shared" si="0"/>
        <v>0</v>
      </c>
      <c r="M27" s="309">
        <v>0.435</v>
      </c>
      <c r="N27" s="234">
        <f t="shared" si="1"/>
        <v>0</v>
      </c>
      <c r="O27" s="295">
        <f>(N27*VLOOKUP($D$9,'Base Costs'!$A$32:$B$37,2,FALSE))</f>
        <v>0</v>
      </c>
      <c r="P27" s="296">
        <f t="shared" si="2"/>
        <v>0</v>
      </c>
      <c r="V27" s="164"/>
      <c r="AB27" s="152"/>
    </row>
    <row r="28" spans="1:28" ht="15" customHeight="1" x14ac:dyDescent="0.15">
      <c r="D28" s="771" t="s">
        <v>764</v>
      </c>
      <c r="E28" s="377" t="s">
        <v>763</v>
      </c>
      <c r="F28" s="365">
        <v>0</v>
      </c>
      <c r="G28" s="765">
        <v>925</v>
      </c>
      <c r="H28" s="765">
        <v>2000</v>
      </c>
      <c r="I28" s="768">
        <v>925</v>
      </c>
      <c r="J28" s="31"/>
      <c r="K28" s="297">
        <v>2344</v>
      </c>
      <c r="L28" s="295">
        <f t="shared" si="0"/>
        <v>0</v>
      </c>
      <c r="M28" s="309">
        <v>0.435</v>
      </c>
      <c r="N28" s="234">
        <f t="shared" si="1"/>
        <v>0</v>
      </c>
      <c r="O28" s="295">
        <f>(N28*VLOOKUP($D$9,'Base Costs'!$A$32:$B$37,2,FALSE))</f>
        <v>0</v>
      </c>
      <c r="P28" s="296">
        <f t="shared" si="2"/>
        <v>0</v>
      </c>
      <c r="V28" s="164"/>
      <c r="AB28" s="152"/>
    </row>
    <row r="29" spans="1:28" ht="15" customHeight="1" x14ac:dyDescent="0.15">
      <c r="D29" s="771" t="s">
        <v>765</v>
      </c>
      <c r="E29" s="377" t="s">
        <v>766</v>
      </c>
      <c r="F29" s="365">
        <v>0</v>
      </c>
      <c r="G29" s="765">
        <v>1000</v>
      </c>
      <c r="H29" s="765">
        <v>2000</v>
      </c>
      <c r="I29" s="768">
        <v>1000</v>
      </c>
      <c r="J29" s="31"/>
      <c r="K29" s="297">
        <v>3598</v>
      </c>
      <c r="L29" s="295">
        <f t="shared" si="0"/>
        <v>0</v>
      </c>
      <c r="M29" s="309">
        <v>0.435</v>
      </c>
      <c r="N29" s="234">
        <f t="shared" si="1"/>
        <v>0</v>
      </c>
      <c r="O29" s="295">
        <f>(N29*VLOOKUP($D$9,'Base Costs'!$A$32:$B$37,2,FALSE))</f>
        <v>0</v>
      </c>
      <c r="P29" s="296">
        <f t="shared" si="2"/>
        <v>0</v>
      </c>
      <c r="V29" s="164"/>
      <c r="AB29" s="152"/>
    </row>
    <row r="30" spans="1:28" ht="15" customHeight="1" x14ac:dyDescent="0.15">
      <c r="A30" s="150">
        <v>286</v>
      </c>
      <c r="D30" s="771" t="s">
        <v>767</v>
      </c>
      <c r="E30" s="377" t="s">
        <v>766</v>
      </c>
      <c r="F30" s="365">
        <v>0</v>
      </c>
      <c r="G30" s="765">
        <v>1400</v>
      </c>
      <c r="H30" s="765">
        <v>2000</v>
      </c>
      <c r="I30" s="764">
        <v>800</v>
      </c>
      <c r="J30" s="31"/>
      <c r="K30" s="297">
        <v>3675</v>
      </c>
      <c r="L30" s="295">
        <f t="shared" si="0"/>
        <v>0</v>
      </c>
      <c r="M30" s="309">
        <v>0.435</v>
      </c>
      <c r="N30" s="234">
        <f t="shared" si="1"/>
        <v>0</v>
      </c>
      <c r="O30" s="295">
        <f>(N30*VLOOKUP($D$9,'Base Costs'!$A$32:$B$37,2,FALSE))</f>
        <v>0</v>
      </c>
      <c r="P30" s="296">
        <f t="shared" si="2"/>
        <v>0</v>
      </c>
      <c r="V30" s="164"/>
      <c r="AB30" s="152"/>
    </row>
    <row r="31" spans="1:28" ht="15" customHeight="1" x14ac:dyDescent="0.15">
      <c r="D31" s="771" t="s">
        <v>768</v>
      </c>
      <c r="E31" s="377" t="s">
        <v>769</v>
      </c>
      <c r="F31" s="365">
        <v>0</v>
      </c>
      <c r="G31" s="767">
        <v>1500</v>
      </c>
      <c r="H31" s="766">
        <v>2000</v>
      </c>
      <c r="I31" s="764">
        <v>800</v>
      </c>
      <c r="J31" s="31"/>
      <c r="K31" s="769">
        <v>4302</v>
      </c>
      <c r="L31" s="295">
        <f t="shared" si="0"/>
        <v>0</v>
      </c>
      <c r="M31" s="309">
        <v>0.435</v>
      </c>
      <c r="N31" s="234">
        <f t="shared" si="1"/>
        <v>0</v>
      </c>
      <c r="O31" s="295">
        <f>(N31*VLOOKUP($D$9,'Base Costs'!$A$32:$B$37,2,FALSE))</f>
        <v>0</v>
      </c>
      <c r="P31" s="296">
        <f t="shared" si="2"/>
        <v>0</v>
      </c>
      <c r="V31" s="164"/>
      <c r="AB31" s="152"/>
    </row>
    <row r="32" spans="1:28" ht="15" customHeight="1" x14ac:dyDescent="0.15">
      <c r="D32" s="204"/>
      <c r="E32" s="377" t="s">
        <v>712</v>
      </c>
      <c r="F32" s="365">
        <v>0</v>
      </c>
      <c r="G32" s="763"/>
      <c r="H32" s="766"/>
      <c r="I32" s="762"/>
      <c r="J32" s="31"/>
      <c r="K32" s="721"/>
      <c r="L32" s="295">
        <f t="shared" si="0"/>
        <v>0</v>
      </c>
      <c r="M32" s="309">
        <v>0.435</v>
      </c>
      <c r="N32" s="234">
        <f t="shared" si="1"/>
        <v>0</v>
      </c>
      <c r="O32" s="295">
        <f>(N32*VLOOKUP($D$9,'Base Costs'!$A$32:$B$37,2,FALSE))</f>
        <v>0</v>
      </c>
      <c r="P32" s="296">
        <f t="shared" si="2"/>
        <v>0</v>
      </c>
      <c r="V32" s="164"/>
      <c r="AB32" s="152"/>
    </row>
    <row r="33" spans="1:28" ht="15" customHeight="1" x14ac:dyDescent="0.15">
      <c r="I33" s="34" t="s">
        <v>23</v>
      </c>
    </row>
    <row r="34" spans="1:28" ht="15" customHeight="1" x14ac:dyDescent="0.15">
      <c r="D34" s="174"/>
      <c r="E34" s="174"/>
      <c r="F34" s="174"/>
      <c r="G34" s="174"/>
      <c r="H34" s="174"/>
      <c r="I34" s="174"/>
      <c r="J34" s="9"/>
      <c r="K34" s="11"/>
      <c r="L34" s="272"/>
      <c r="M34" s="175"/>
      <c r="N34" s="272"/>
      <c r="O34" s="272"/>
      <c r="V34" s="164"/>
      <c r="AB34" s="152"/>
    </row>
    <row r="35" spans="1:28" ht="15" customHeight="1" x14ac:dyDescent="0.15">
      <c r="D35" s="982" t="s">
        <v>88</v>
      </c>
      <c r="E35" s="934"/>
      <c r="F35" s="934"/>
      <c r="G35" s="934"/>
      <c r="H35" s="934"/>
      <c r="I35" s="934"/>
      <c r="J35" s="171"/>
      <c r="K35" s="249"/>
      <c r="L35" s="123" t="e">
        <f>SUBTOTAL(9,L36:L46)</f>
        <v>#N/A</v>
      </c>
      <c r="M35" s="15" t="e">
        <f>IF(L36=0,"-",P35/N35)</f>
        <v>#N/A</v>
      </c>
      <c r="N35" s="123" t="e">
        <f>SUBTOTAL(9,N36:N46)</f>
        <v>#N/A</v>
      </c>
      <c r="O35" s="381" t="e">
        <f>SUBTOTAL(9,O36:O46)</f>
        <v>#N/A</v>
      </c>
      <c r="P35" s="123">
        <f>SUBTOTAL(9,P37:P46)</f>
        <v>0</v>
      </c>
      <c r="V35" s="164"/>
    </row>
    <row r="36" spans="1:28" ht="15" customHeight="1" x14ac:dyDescent="0.15">
      <c r="A36" s="150">
        <v>222</v>
      </c>
      <c r="D36" s="204" t="s">
        <v>630</v>
      </c>
      <c r="E36" s="177"/>
      <c r="F36" s="233" t="s">
        <v>770</v>
      </c>
      <c r="G36" s="28"/>
      <c r="H36" s="30"/>
      <c r="I36" s="28"/>
      <c r="J36" s="28"/>
      <c r="K36" s="302" t="e">
        <f>VLOOKUP(F36,'Base Costs'!E4:G213,2,FALSE)</f>
        <v>#N/A</v>
      </c>
      <c r="L36" s="295" t="e">
        <f t="shared" ref="L36:L46" si="3">E36*K36</f>
        <v>#N/A</v>
      </c>
      <c r="M36" s="309">
        <v>0.1</v>
      </c>
      <c r="N36" s="234" t="e">
        <f t="shared" ref="N36:N46" si="4">(L36/(1-M36))*(1+$E$9)</f>
        <v>#N/A</v>
      </c>
      <c r="O36" s="295" t="e">
        <f>(N36*VLOOKUP($D$9,'Base Costs'!$A$32:$B$37,2,FALSE))</f>
        <v>#N/A</v>
      </c>
      <c r="P36" s="296" t="e">
        <f t="shared" ref="P36:P46" si="5">N36-L36</f>
        <v>#N/A</v>
      </c>
      <c r="V36" s="164"/>
    </row>
    <row r="37" spans="1:28" ht="15" customHeight="1" x14ac:dyDescent="0.15">
      <c r="A37" s="150">
        <v>257</v>
      </c>
      <c r="D37" s="204" t="s">
        <v>463</v>
      </c>
      <c r="E37" s="177"/>
      <c r="F37" s="233" t="s">
        <v>93</v>
      </c>
      <c r="G37" s="28"/>
      <c r="H37" s="28"/>
      <c r="I37" s="28"/>
      <c r="J37" s="28"/>
      <c r="K37" s="302">
        <f>VLOOKUP(F37,'Base Costs'!$A$4:$B$16,2,FALSE)</f>
        <v>0</v>
      </c>
      <c r="L37" s="295">
        <f t="shared" si="3"/>
        <v>0</v>
      </c>
      <c r="M37" s="309">
        <v>0.37</v>
      </c>
      <c r="N37" s="234">
        <f t="shared" si="4"/>
        <v>0</v>
      </c>
      <c r="O37" s="295">
        <f>(N37*VLOOKUP($D$9,'Base Costs'!$A$32:$B$37,2,FALSE))</f>
        <v>0</v>
      </c>
      <c r="P37" s="296">
        <f t="shared" si="5"/>
        <v>0</v>
      </c>
      <c r="V37" s="164"/>
    </row>
    <row r="38" spans="1:28" ht="15" customHeight="1" x14ac:dyDescent="0.15">
      <c r="A38" s="150">
        <v>257</v>
      </c>
      <c r="D38" s="204" t="s">
        <v>463</v>
      </c>
      <c r="E38" s="177"/>
      <c r="F38" s="233" t="s">
        <v>93</v>
      </c>
      <c r="G38" s="28"/>
      <c r="H38" s="28"/>
      <c r="I38" s="28"/>
      <c r="J38" s="28"/>
      <c r="K38" s="302">
        <f>VLOOKUP(F38,'Base Costs'!$A$4:$B$16,2,FALSE)</f>
        <v>0</v>
      </c>
      <c r="L38" s="295">
        <f t="shared" si="3"/>
        <v>0</v>
      </c>
      <c r="M38" s="309">
        <v>0.37</v>
      </c>
      <c r="N38" s="234">
        <f t="shared" si="4"/>
        <v>0</v>
      </c>
      <c r="O38" s="295">
        <f>(N38*VLOOKUP($D$9,'Base Costs'!$A$32:$B$37,2,FALSE))</f>
        <v>0</v>
      </c>
      <c r="P38" s="296">
        <f t="shared" si="5"/>
        <v>0</v>
      </c>
      <c r="V38" s="164"/>
    </row>
    <row r="39" spans="1:28" ht="15" customHeight="1" x14ac:dyDescent="0.15">
      <c r="A39" s="150">
        <v>400</v>
      </c>
      <c r="D39" s="204" t="s">
        <v>96</v>
      </c>
      <c r="E39" s="177"/>
      <c r="F39" s="28" t="s">
        <v>97</v>
      </c>
      <c r="G39" s="28"/>
      <c r="H39" s="28"/>
      <c r="I39" s="28"/>
      <c r="J39" s="28"/>
      <c r="K39" s="302">
        <v>375</v>
      </c>
      <c r="L39" s="295">
        <f t="shared" si="3"/>
        <v>0</v>
      </c>
      <c r="M39" s="309">
        <v>0.37</v>
      </c>
      <c r="N39" s="234">
        <f t="shared" si="4"/>
        <v>0</v>
      </c>
      <c r="O39" s="295">
        <f>(N39*VLOOKUP($D$9,'Base Costs'!$A$32:$B$37,2,FALSE))</f>
        <v>0</v>
      </c>
      <c r="P39" s="296">
        <f t="shared" si="5"/>
        <v>0</v>
      </c>
      <c r="V39" s="164"/>
    </row>
    <row r="40" spans="1:28" ht="15" customHeight="1" x14ac:dyDescent="0.15">
      <c r="A40" s="150">
        <v>102</v>
      </c>
      <c r="D40" s="204" t="s">
        <v>465</v>
      </c>
      <c r="E40" s="177"/>
      <c r="F40" s="28" t="s">
        <v>99</v>
      </c>
      <c r="G40" s="28"/>
      <c r="H40" s="28"/>
      <c r="I40" s="28"/>
      <c r="J40" s="28"/>
      <c r="K40" s="302">
        <v>15</v>
      </c>
      <c r="L40" s="295">
        <f t="shared" si="3"/>
        <v>0</v>
      </c>
      <c r="M40" s="309">
        <v>0.37</v>
      </c>
      <c r="N40" s="234">
        <f t="shared" si="4"/>
        <v>0</v>
      </c>
      <c r="O40" s="295">
        <f>(N40*VLOOKUP($D$9,'Base Costs'!$A$32:$B$37,2,FALSE))</f>
        <v>0</v>
      </c>
      <c r="P40" s="296">
        <f t="shared" si="5"/>
        <v>0</v>
      </c>
      <c r="V40" s="164"/>
    </row>
    <row r="41" spans="1:28" ht="15" customHeight="1" x14ac:dyDescent="0.15">
      <c r="A41" s="150">
        <v>400</v>
      </c>
      <c r="D41" s="204" t="s">
        <v>100</v>
      </c>
      <c r="E41" s="177"/>
      <c r="F41" s="28" t="s">
        <v>509</v>
      </c>
      <c r="G41" s="28"/>
      <c r="H41" s="28"/>
      <c r="I41" s="28"/>
      <c r="J41" s="28"/>
      <c r="K41" s="302">
        <v>500</v>
      </c>
      <c r="L41" s="295">
        <f t="shared" si="3"/>
        <v>0</v>
      </c>
      <c r="M41" s="309">
        <v>0.25</v>
      </c>
      <c r="N41" s="234">
        <f t="shared" si="4"/>
        <v>0</v>
      </c>
      <c r="O41" s="295">
        <f>(N41*VLOOKUP($D$9,'Base Costs'!$A$32:$B$37,2,FALSE))</f>
        <v>0</v>
      </c>
      <c r="P41" s="296">
        <f t="shared" si="5"/>
        <v>0</v>
      </c>
      <c r="V41" s="164"/>
    </row>
    <row r="42" spans="1:28" ht="15" customHeight="1" x14ac:dyDescent="0.15">
      <c r="A42" s="150">
        <v>400</v>
      </c>
      <c r="D42" s="204" t="s">
        <v>102</v>
      </c>
      <c r="E42" s="177"/>
      <c r="F42" s="28" t="s">
        <v>509</v>
      </c>
      <c r="G42" s="28"/>
      <c r="H42" s="28"/>
      <c r="I42" s="28"/>
      <c r="J42" s="28"/>
      <c r="K42" s="302">
        <v>861</v>
      </c>
      <c r="L42" s="295">
        <f t="shared" si="3"/>
        <v>0</v>
      </c>
      <c r="M42" s="309">
        <v>0.25</v>
      </c>
      <c r="N42" s="234">
        <f t="shared" si="4"/>
        <v>0</v>
      </c>
      <c r="O42" s="295">
        <f>(N42*VLOOKUP($D$9,'Base Costs'!$A$32:$B$37,2,FALSE))</f>
        <v>0</v>
      </c>
      <c r="P42" s="296">
        <f t="shared" si="5"/>
        <v>0</v>
      </c>
      <c r="V42" s="164"/>
    </row>
    <row r="43" spans="1:28" ht="15" customHeight="1" x14ac:dyDescent="0.15">
      <c r="A43" s="150">
        <v>253</v>
      </c>
      <c r="D43" s="204" t="s">
        <v>636</v>
      </c>
      <c r="E43" s="177"/>
      <c r="F43" s="28" t="s">
        <v>106</v>
      </c>
      <c r="G43" s="28"/>
      <c r="H43" s="28"/>
      <c r="I43" s="28"/>
      <c r="J43" s="28"/>
      <c r="K43" s="302"/>
      <c r="L43" s="295">
        <f t="shared" si="3"/>
        <v>0</v>
      </c>
      <c r="M43" s="309">
        <v>0.37</v>
      </c>
      <c r="N43" s="234">
        <f t="shared" si="4"/>
        <v>0</v>
      </c>
      <c r="O43" s="295">
        <f>(N43*VLOOKUP($D$9,'Base Costs'!$A$32:$B$37,2,FALSE))</f>
        <v>0</v>
      </c>
      <c r="P43" s="296">
        <f t="shared" si="5"/>
        <v>0</v>
      </c>
      <c r="V43" s="164"/>
    </row>
    <row r="44" spans="1:28" ht="15" customHeight="1" x14ac:dyDescent="0.15">
      <c r="A44" s="150">
        <v>253</v>
      </c>
      <c r="D44" s="204" t="s">
        <v>468</v>
      </c>
      <c r="E44" s="177"/>
      <c r="F44" s="28" t="s">
        <v>106</v>
      </c>
      <c r="G44" s="28"/>
      <c r="H44" s="28"/>
      <c r="I44" s="28"/>
      <c r="J44" s="28"/>
      <c r="K44" s="302">
        <v>170</v>
      </c>
      <c r="L44" s="295">
        <f t="shared" si="3"/>
        <v>0</v>
      </c>
      <c r="M44" s="309">
        <v>0.37</v>
      </c>
      <c r="N44" s="234">
        <f t="shared" si="4"/>
        <v>0</v>
      </c>
      <c r="O44" s="295">
        <f>(N44*VLOOKUP($D$9,'Base Costs'!$A$32:$B$37,2,FALSE))</f>
        <v>0</v>
      </c>
      <c r="P44" s="296">
        <f t="shared" si="5"/>
        <v>0</v>
      </c>
      <c r="V44" s="164"/>
    </row>
    <row r="45" spans="1:28" ht="15" customHeight="1" x14ac:dyDescent="0.15">
      <c r="A45" s="150">
        <v>280</v>
      </c>
      <c r="D45" s="204" t="s">
        <v>107</v>
      </c>
      <c r="E45" s="177"/>
      <c r="F45" s="28" t="s">
        <v>684</v>
      </c>
      <c r="G45" s="28"/>
      <c r="H45" s="28"/>
      <c r="I45" s="28"/>
      <c r="J45" s="28"/>
      <c r="K45" s="302">
        <v>417</v>
      </c>
      <c r="L45" s="295">
        <f t="shared" si="3"/>
        <v>0</v>
      </c>
      <c r="M45" s="309">
        <v>0.37</v>
      </c>
      <c r="N45" s="234">
        <f t="shared" si="4"/>
        <v>0</v>
      </c>
      <c r="O45" s="295">
        <f>(N45*VLOOKUP($D$9,'Base Costs'!$A$32:$B$37,2,FALSE))</f>
        <v>0</v>
      </c>
      <c r="P45" s="296">
        <f t="shared" si="5"/>
        <v>0</v>
      </c>
      <c r="V45" s="164"/>
    </row>
    <row r="46" spans="1:28" ht="15" customHeight="1" x14ac:dyDescent="0.15">
      <c r="A46" s="150">
        <v>284</v>
      </c>
      <c r="D46" s="204" t="s">
        <v>115</v>
      </c>
      <c r="E46" s="177"/>
      <c r="F46" s="28" t="s">
        <v>685</v>
      </c>
      <c r="G46" s="28"/>
      <c r="H46" s="28"/>
      <c r="I46" s="28"/>
      <c r="J46" s="28"/>
      <c r="K46" s="302">
        <v>200</v>
      </c>
      <c r="L46" s="295">
        <f t="shared" si="3"/>
        <v>0</v>
      </c>
      <c r="M46" s="309">
        <v>0.37</v>
      </c>
      <c r="N46" s="234">
        <f t="shared" si="4"/>
        <v>0</v>
      </c>
      <c r="O46" s="295">
        <f>(N46*VLOOKUP($D$9,'Base Costs'!$A$32:$B$37,2,FALSE))</f>
        <v>0</v>
      </c>
      <c r="P46" s="296">
        <f t="shared" si="5"/>
        <v>0</v>
      </c>
      <c r="V46" s="164"/>
    </row>
    <row r="47" spans="1:28" ht="15" customHeight="1" x14ac:dyDescent="0.15">
      <c r="D47" s="174"/>
      <c r="E47" s="174"/>
      <c r="F47" s="174"/>
      <c r="G47" s="174"/>
      <c r="H47" s="174"/>
      <c r="I47" s="178"/>
      <c r="J47" s="179"/>
      <c r="K47" s="273"/>
      <c r="L47" s="272"/>
      <c r="M47" s="274"/>
      <c r="N47" s="272"/>
      <c r="O47" s="272"/>
      <c r="V47" s="164"/>
    </row>
    <row r="48" spans="1:28" ht="15" customHeight="1" x14ac:dyDescent="0.2">
      <c r="D48" s="139" t="s">
        <v>46</v>
      </c>
      <c r="E48" s="140"/>
      <c r="F48" s="141"/>
      <c r="G48" s="141"/>
      <c r="H48" s="140"/>
      <c r="I48" s="142"/>
      <c r="J48" s="140"/>
      <c r="K48" s="140"/>
      <c r="L48" s="140"/>
      <c r="M48" s="140"/>
      <c r="N48" s="140"/>
      <c r="O48" s="140"/>
      <c r="P48" s="140"/>
      <c r="V48" s="164"/>
    </row>
    <row r="49" spans="4:22" ht="15" customHeight="1" x14ac:dyDescent="0.2">
      <c r="D49" s="143"/>
      <c r="E49" s="144"/>
      <c r="F49" s="143"/>
      <c r="G49" s="145"/>
      <c r="H49" s="143"/>
      <c r="I49" s="149"/>
      <c r="J49" s="144"/>
      <c r="K49" s="144"/>
      <c r="L49" s="146"/>
      <c r="M49" s="146"/>
      <c r="N49" s="146"/>
      <c r="O49" s="146"/>
      <c r="P49" s="146"/>
      <c r="V49" s="164"/>
    </row>
    <row r="50" spans="4:22" ht="15" customHeight="1" x14ac:dyDescent="0.2">
      <c r="D50" s="143"/>
      <c r="E50" s="144"/>
      <c r="F50" s="143"/>
      <c r="G50" s="145"/>
      <c r="H50" s="143"/>
      <c r="I50" s="149"/>
      <c r="J50" s="144"/>
      <c r="K50" s="144"/>
      <c r="L50" s="146"/>
      <c r="M50" s="146"/>
      <c r="N50" s="146"/>
      <c r="O50" s="146"/>
      <c r="P50" s="146"/>
      <c r="V50" s="164"/>
    </row>
    <row r="51" spans="4:22" ht="15" customHeight="1" x14ac:dyDescent="0.2">
      <c r="D51" s="143"/>
      <c r="E51" s="144"/>
      <c r="F51" s="143"/>
      <c r="G51" s="145"/>
      <c r="H51" s="143"/>
      <c r="I51" s="149"/>
      <c r="J51" s="144"/>
      <c r="K51" s="144"/>
      <c r="L51" s="149"/>
      <c r="M51" s="149"/>
      <c r="N51" s="149"/>
      <c r="O51" s="149"/>
      <c r="P51" s="149"/>
      <c r="V51" s="164"/>
    </row>
    <row r="52" spans="4:22" ht="15" customHeight="1" x14ac:dyDescent="0.2">
      <c r="D52" s="143"/>
      <c r="E52" s="144"/>
      <c r="F52" s="143"/>
      <c r="G52" s="145"/>
      <c r="H52" s="143"/>
      <c r="I52" s="149"/>
      <c r="J52" s="147"/>
      <c r="K52" s="144"/>
      <c r="L52" s="149"/>
      <c r="M52" s="149"/>
      <c r="N52" s="149"/>
      <c r="O52" s="149"/>
      <c r="P52" s="149"/>
      <c r="V52" s="164"/>
    </row>
    <row r="53" spans="4:22" ht="15" customHeight="1" x14ac:dyDescent="0.2">
      <c r="D53" s="143"/>
      <c r="E53" s="144"/>
      <c r="F53" s="143"/>
      <c r="G53" s="143"/>
      <c r="H53" s="143"/>
      <c r="I53" s="148"/>
      <c r="J53" s="149"/>
      <c r="K53" s="144"/>
      <c r="L53" s="146"/>
      <c r="M53" s="146"/>
      <c r="N53" s="146"/>
      <c r="O53" s="146"/>
      <c r="P53" s="146"/>
      <c r="V53" s="164"/>
    </row>
    <row r="54" spans="4:22" ht="15" customHeight="1" x14ac:dyDescent="0.2">
      <c r="D54" s="143"/>
      <c r="E54" s="143"/>
      <c r="F54" s="143"/>
      <c r="G54" s="143"/>
      <c r="H54" s="143"/>
      <c r="I54" s="148"/>
      <c r="J54" s="149"/>
      <c r="K54" s="144"/>
      <c r="L54" s="146"/>
      <c r="M54" s="146"/>
      <c r="N54" s="146"/>
      <c r="O54" s="146"/>
      <c r="P54" s="146"/>
      <c r="V54" s="164"/>
    </row>
    <row r="55" spans="4:22" ht="15" customHeight="1" x14ac:dyDescent="0.15">
      <c r="K55" s="163"/>
      <c r="N55" s="163"/>
      <c r="P55" s="163"/>
      <c r="V55" s="164"/>
    </row>
    <row r="56" spans="4:22" ht="15" customHeight="1" x14ac:dyDescent="0.15">
      <c r="K56" s="163"/>
      <c r="N56" s="163"/>
      <c r="P56" s="163"/>
      <c r="V56" s="164"/>
    </row>
    <row r="57" spans="4:22" ht="15" customHeight="1" x14ac:dyDescent="0.15">
      <c r="I57" s="154"/>
      <c r="V57" s="164"/>
    </row>
    <row r="58" spans="4:22" ht="15" customHeight="1" x14ac:dyDescent="0.15">
      <c r="I58" s="154"/>
      <c r="V58" s="164"/>
    </row>
    <row r="59" spans="4:22" ht="15" customHeight="1" x14ac:dyDescent="0.15">
      <c r="I59" s="154"/>
      <c r="V59" s="164"/>
    </row>
    <row r="60" spans="4:22" ht="15" customHeight="1" x14ac:dyDescent="0.15">
      <c r="I60" s="154"/>
      <c r="V60" s="164"/>
    </row>
    <row r="61" spans="4:22" ht="15" customHeight="1" x14ac:dyDescent="0.15">
      <c r="I61" s="154"/>
      <c r="V61" s="164"/>
    </row>
    <row r="62" spans="4:22" ht="15" customHeight="1" x14ac:dyDescent="0.15">
      <c r="I62" s="154"/>
      <c r="V62" s="164"/>
    </row>
    <row r="63" spans="4:22" ht="15" customHeight="1" x14ac:dyDescent="0.15">
      <c r="I63" s="154"/>
      <c r="V63" s="164"/>
    </row>
    <row r="64" spans="4:22" ht="15" customHeight="1" x14ac:dyDescent="0.15">
      <c r="I64" s="154"/>
      <c r="V64" s="164"/>
    </row>
    <row r="65" spans="4:22" ht="15" customHeight="1" x14ac:dyDescent="0.15">
      <c r="I65" s="154"/>
      <c r="V65" s="164"/>
    </row>
    <row r="66" spans="4:22" ht="15" customHeight="1" x14ac:dyDescent="0.15">
      <c r="D66" s="180"/>
      <c r="E66" s="180"/>
      <c r="F66" s="180"/>
      <c r="G66" s="180"/>
      <c r="H66" s="180"/>
      <c r="I66" s="180"/>
      <c r="V66" s="164"/>
    </row>
    <row r="67" spans="4:22" ht="15" customHeight="1" x14ac:dyDescent="0.15">
      <c r="V67" s="164"/>
    </row>
    <row r="68" spans="4:22" ht="15" customHeight="1" x14ac:dyDescent="0.15">
      <c r="V68" s="164"/>
    </row>
    <row r="69" spans="4:22" ht="15" customHeight="1" x14ac:dyDescent="0.15">
      <c r="V69" s="164"/>
    </row>
    <row r="70" spans="4:22" ht="15" customHeight="1" x14ac:dyDescent="0.15">
      <c r="V70" s="164"/>
    </row>
    <row r="71" spans="4:22" ht="15" customHeight="1" x14ac:dyDescent="0.15">
      <c r="V71" s="164"/>
    </row>
    <row r="72" spans="4:22" ht="15" customHeight="1" x14ac:dyDescent="0.15">
      <c r="V72" s="164"/>
    </row>
    <row r="73" spans="4:22" ht="15" customHeight="1" x14ac:dyDescent="0.15">
      <c r="V73" s="164"/>
    </row>
    <row r="74" spans="4:22" ht="15" customHeight="1" x14ac:dyDescent="0.15">
      <c r="V74" s="164"/>
    </row>
    <row r="75" spans="4:22" ht="15" customHeight="1" x14ac:dyDescent="0.15">
      <c r="V75" s="164"/>
    </row>
    <row r="76" spans="4:22" ht="15" customHeight="1" x14ac:dyDescent="0.15">
      <c r="V76" s="164"/>
    </row>
    <row r="77" spans="4:22" ht="15" customHeight="1" x14ac:dyDescent="0.15">
      <c r="V77" s="164"/>
    </row>
    <row r="78" spans="4:22" ht="15" customHeight="1" x14ac:dyDescent="0.15">
      <c r="V78" s="164"/>
    </row>
    <row r="79" spans="4:22" ht="15" customHeight="1" x14ac:dyDescent="0.15">
      <c r="V79" s="164"/>
    </row>
    <row r="80" spans="4:22" ht="15" customHeight="1" x14ac:dyDescent="0.15">
      <c r="V80" s="164"/>
    </row>
    <row r="81" spans="22:22" ht="15" customHeight="1" x14ac:dyDescent="0.15">
      <c r="V81" s="164"/>
    </row>
    <row r="82" spans="22:22" ht="15" customHeight="1" x14ac:dyDescent="0.15">
      <c r="V82" s="164"/>
    </row>
    <row r="83" spans="22:22" ht="15" customHeight="1" x14ac:dyDescent="0.15">
      <c r="V83" s="164"/>
    </row>
    <row r="84" spans="22:22" ht="15" customHeight="1" x14ac:dyDescent="0.15">
      <c r="V84" s="164"/>
    </row>
    <row r="85" spans="22:22" ht="15" customHeight="1" x14ac:dyDescent="0.15">
      <c r="V85" s="164"/>
    </row>
    <row r="86" spans="22:22" ht="15" customHeight="1" x14ac:dyDescent="0.15">
      <c r="V86" s="164"/>
    </row>
    <row r="87" spans="22:22" ht="15" customHeight="1" x14ac:dyDescent="0.15">
      <c r="V87" s="164"/>
    </row>
    <row r="88" spans="22:22" ht="15" customHeight="1" x14ac:dyDescent="0.15">
      <c r="V88" s="164"/>
    </row>
    <row r="89" spans="22:22" ht="15" customHeight="1" x14ac:dyDescent="0.15">
      <c r="V89" s="164"/>
    </row>
    <row r="90" spans="22:22" ht="15" customHeight="1" x14ac:dyDescent="0.15">
      <c r="V90" s="164"/>
    </row>
    <row r="91" spans="22:22" ht="15" customHeight="1" x14ac:dyDescent="0.15">
      <c r="V91" s="164"/>
    </row>
    <row r="92" spans="22:22" ht="15" customHeight="1" x14ac:dyDescent="0.15">
      <c r="V92" s="164"/>
    </row>
    <row r="93" spans="22:22" ht="15" customHeight="1" x14ac:dyDescent="0.15">
      <c r="V93" s="164"/>
    </row>
    <row r="94" spans="22:22" ht="15" customHeight="1" x14ac:dyDescent="0.15">
      <c r="V94" s="164"/>
    </row>
    <row r="95" spans="22:22" ht="15" customHeight="1" x14ac:dyDescent="0.15">
      <c r="V95" s="164"/>
    </row>
    <row r="96" spans="22:22" ht="15" customHeight="1" x14ac:dyDescent="0.15">
      <c r="V96" s="164"/>
    </row>
    <row r="97" spans="22:22" ht="15" customHeight="1" x14ac:dyDescent="0.15">
      <c r="V97" s="164"/>
    </row>
    <row r="98" spans="22:22" ht="15" customHeight="1" x14ac:dyDescent="0.15">
      <c r="V98" s="164"/>
    </row>
    <row r="99" spans="22:22" ht="15" customHeight="1" x14ac:dyDescent="0.15">
      <c r="V99" s="164"/>
    </row>
    <row r="100" spans="22:22" ht="15" customHeight="1" x14ac:dyDescent="0.15">
      <c r="V100" s="164"/>
    </row>
    <row r="101" spans="22:22" ht="15" customHeight="1" x14ac:dyDescent="0.15">
      <c r="V101" s="164"/>
    </row>
    <row r="102" spans="22:22" ht="15" customHeight="1" x14ac:dyDescent="0.15">
      <c r="V102" s="164"/>
    </row>
    <row r="103" spans="22:22" ht="15" customHeight="1" x14ac:dyDescent="0.15">
      <c r="V103" s="164"/>
    </row>
    <row r="104" spans="22:22" ht="15" customHeight="1" x14ac:dyDescent="0.15">
      <c r="V104" s="164"/>
    </row>
    <row r="105" spans="22:22" ht="15" customHeight="1" x14ac:dyDescent="0.15">
      <c r="V105" s="164"/>
    </row>
    <row r="106" spans="22:22" ht="15" customHeight="1" x14ac:dyDescent="0.15">
      <c r="V106" s="164"/>
    </row>
    <row r="107" spans="22:22" ht="15" customHeight="1" x14ac:dyDescent="0.15">
      <c r="V107" s="164"/>
    </row>
    <row r="108" spans="22:22" ht="15" customHeight="1" x14ac:dyDescent="0.15">
      <c r="V108" s="164"/>
    </row>
    <row r="109" spans="22:22" ht="15" customHeight="1" x14ac:dyDescent="0.15">
      <c r="V109" s="164"/>
    </row>
    <row r="110" spans="22:22" ht="15" customHeight="1" x14ac:dyDescent="0.15">
      <c r="V110" s="164"/>
    </row>
    <row r="111" spans="22:22" ht="15" customHeight="1" x14ac:dyDescent="0.15">
      <c r="V111" s="164"/>
    </row>
    <row r="112" spans="22:22" ht="15" customHeight="1" x14ac:dyDescent="0.15">
      <c r="V112" s="164"/>
    </row>
    <row r="113" spans="22:22" ht="15" customHeight="1" x14ac:dyDescent="0.15">
      <c r="V113" s="164"/>
    </row>
    <row r="114" spans="22:22" ht="15" customHeight="1" x14ac:dyDescent="0.15">
      <c r="V114" s="164"/>
    </row>
    <row r="115" spans="22:22" ht="15" customHeight="1" x14ac:dyDescent="0.15">
      <c r="V115" s="164"/>
    </row>
    <row r="116" spans="22:22" ht="15" customHeight="1" x14ac:dyDescent="0.15">
      <c r="V116" s="164"/>
    </row>
    <row r="117" spans="22:22" ht="15" customHeight="1" x14ac:dyDescent="0.15">
      <c r="V117" s="164"/>
    </row>
    <row r="118" spans="22:22" ht="15" customHeight="1" x14ac:dyDescent="0.15">
      <c r="V118" s="164"/>
    </row>
    <row r="119" spans="22:22" ht="15" customHeight="1" x14ac:dyDescent="0.15">
      <c r="V119" s="164"/>
    </row>
    <row r="120" spans="22:22" ht="15" customHeight="1" x14ac:dyDescent="0.15">
      <c r="V120" s="164"/>
    </row>
    <row r="122" spans="22:22" ht="15" customHeight="1" x14ac:dyDescent="0.15">
      <c r="V122" s="164"/>
    </row>
    <row r="123" spans="22:22" ht="15" customHeight="1" x14ac:dyDescent="0.15">
      <c r="V123" s="164"/>
    </row>
    <row r="124" spans="22:22" ht="15" customHeight="1" x14ac:dyDescent="0.15">
      <c r="V124" s="164"/>
    </row>
    <row r="125" spans="22:22" ht="15" customHeight="1" x14ac:dyDescent="0.15">
      <c r="V125" s="164"/>
    </row>
    <row r="126" spans="22:22" ht="15" customHeight="1" x14ac:dyDescent="0.15">
      <c r="V126" s="164"/>
    </row>
    <row r="127" spans="22:22" ht="15" customHeight="1" x14ac:dyDescent="0.15">
      <c r="V127" s="164"/>
    </row>
    <row r="128" spans="22:22" ht="15" customHeight="1" x14ac:dyDescent="0.15">
      <c r="V128" s="164"/>
    </row>
    <row r="129" spans="22:22" ht="15" customHeight="1" x14ac:dyDescent="0.15">
      <c r="V129" s="164"/>
    </row>
    <row r="130" spans="22:22" ht="15" customHeight="1" x14ac:dyDescent="0.15">
      <c r="V130" s="164"/>
    </row>
    <row r="131" spans="22:22" ht="15" customHeight="1" x14ac:dyDescent="0.15">
      <c r="V131" s="164"/>
    </row>
    <row r="132" spans="22:22" ht="15" customHeight="1" x14ac:dyDescent="0.15">
      <c r="V132" s="164"/>
    </row>
    <row r="133" spans="22:22" ht="15" customHeight="1" x14ac:dyDescent="0.15">
      <c r="V133" s="164"/>
    </row>
    <row r="134" spans="22:22" ht="15" customHeight="1" x14ac:dyDescent="0.15">
      <c r="V134" s="164"/>
    </row>
    <row r="135" spans="22:22" ht="15" customHeight="1" x14ac:dyDescent="0.15">
      <c r="V135" s="164"/>
    </row>
    <row r="136" spans="22:22" ht="15" customHeight="1" x14ac:dyDescent="0.15">
      <c r="V136" s="164"/>
    </row>
    <row r="137" spans="22:22" ht="15" customHeight="1" x14ac:dyDescent="0.15">
      <c r="V137" s="164"/>
    </row>
    <row r="138" spans="22:22" ht="15" customHeight="1" x14ac:dyDescent="0.15">
      <c r="V138" s="164"/>
    </row>
    <row r="139" spans="22:22" ht="15" customHeight="1" x14ac:dyDescent="0.15">
      <c r="V139" s="164"/>
    </row>
    <row r="140" spans="22:22" ht="15" customHeight="1" x14ac:dyDescent="0.15">
      <c r="V140" s="164"/>
    </row>
    <row r="141" spans="22:22" ht="15" customHeight="1" x14ac:dyDescent="0.15">
      <c r="V141" s="164"/>
    </row>
    <row r="142" spans="22:22" ht="15" customHeight="1" x14ac:dyDescent="0.15">
      <c r="V142" s="164"/>
    </row>
    <row r="143" spans="22:22" ht="15" customHeight="1" x14ac:dyDescent="0.15">
      <c r="V143" s="164"/>
    </row>
    <row r="144" spans="22:22" ht="15" customHeight="1" x14ac:dyDescent="0.15">
      <c r="V144" s="164"/>
    </row>
    <row r="145" spans="22:22" ht="15" customHeight="1" x14ac:dyDescent="0.15">
      <c r="V145" s="164"/>
    </row>
    <row r="146" spans="22:22" ht="15" customHeight="1" x14ac:dyDescent="0.15">
      <c r="V146" s="164"/>
    </row>
    <row r="147" spans="22:22" ht="15" customHeight="1" x14ac:dyDescent="0.15">
      <c r="V147" s="164"/>
    </row>
    <row r="148" spans="22:22" ht="15" customHeight="1" x14ac:dyDescent="0.15">
      <c r="V148" s="164"/>
    </row>
    <row r="149" spans="22:22" ht="15" customHeight="1" x14ac:dyDescent="0.15">
      <c r="V149" s="164"/>
    </row>
    <row r="150" spans="22:22" ht="15" customHeight="1" x14ac:dyDescent="0.15">
      <c r="V150" s="164"/>
    </row>
    <row r="151" spans="22:22" ht="15" customHeight="1" x14ac:dyDescent="0.15">
      <c r="V151" s="164"/>
    </row>
    <row r="152" spans="22:22" ht="15" customHeight="1" x14ac:dyDescent="0.15">
      <c r="V152" s="164"/>
    </row>
    <row r="153" spans="22:22" ht="15" customHeight="1" x14ac:dyDescent="0.15">
      <c r="V153" s="164"/>
    </row>
    <row r="154" spans="22:22" ht="15" customHeight="1" x14ac:dyDescent="0.15">
      <c r="V154" s="164"/>
    </row>
    <row r="155" spans="22:22" ht="15" customHeight="1" x14ac:dyDescent="0.15">
      <c r="V155" s="164"/>
    </row>
    <row r="156" spans="22:22" ht="15" customHeight="1" x14ac:dyDescent="0.15">
      <c r="V156" s="164"/>
    </row>
    <row r="157" spans="22:22" ht="15" customHeight="1" x14ac:dyDescent="0.15">
      <c r="V157" s="164"/>
    </row>
    <row r="158" spans="22:22" ht="15" customHeight="1" x14ac:dyDescent="0.15">
      <c r="V158" s="164"/>
    </row>
    <row r="159" spans="22:22" ht="15" customHeight="1" x14ac:dyDescent="0.15">
      <c r="V159" s="164"/>
    </row>
  </sheetData>
  <mergeCells count="8">
    <mergeCell ref="D1:E1"/>
    <mergeCell ref="E7:F7"/>
    <mergeCell ref="I5:K5"/>
    <mergeCell ref="E5:F5"/>
    <mergeCell ref="D35:I35"/>
    <mergeCell ref="E3:F3"/>
    <mergeCell ref="I3:K3"/>
    <mergeCell ref="I7:K7"/>
  </mergeCells>
  <conditionalFormatting sqref="D9">
    <cfRule type="expression" dxfId="48" priority="481">
      <formula>D9="CURRENCY"</formula>
    </cfRule>
    <cfRule type="containsText" dxfId="47" priority="480" operator="containsText" text="SELECT">
      <formula>NOT(ISERROR(SEARCH("SELECT",D9)))</formula>
    </cfRule>
  </conditionalFormatting>
  <conditionalFormatting sqref="D14:D32">
    <cfRule type="expression" dxfId="46" priority="22">
      <formula>$K14&gt;0</formula>
    </cfRule>
  </conditionalFormatting>
  <conditionalFormatting sqref="D36:D46">
    <cfRule type="expression" dxfId="45" priority="21">
      <formula>$E36&gt;0</formula>
    </cfRule>
  </conditionalFormatting>
  <conditionalFormatting sqref="E36:E37 E39:E46">
    <cfRule type="cellIs" dxfId="44" priority="570" operator="lessThan">
      <formula>1</formula>
    </cfRule>
  </conditionalFormatting>
  <conditionalFormatting sqref="E38">
    <cfRule type="cellIs" dxfId="43" priority="402" operator="lessThan">
      <formula>1</formula>
    </cfRule>
  </conditionalFormatting>
  <conditionalFormatting sqref="E9:F9">
    <cfRule type="cellIs" dxfId="42" priority="419" operator="greaterThan">
      <formula>0</formula>
    </cfRule>
    <cfRule type="cellIs" dxfId="41" priority="418" operator="lessThan">
      <formula>0</formula>
    </cfRule>
  </conditionalFormatting>
  <conditionalFormatting sqref="G12">
    <cfRule type="cellIs" dxfId="40" priority="588" operator="greaterThan">
      <formula>2000</formula>
    </cfRule>
    <cfRule type="expression" dxfId="39" priority="587">
      <formula>ISNUMBER(SEARCH("I-MUAP",$F$14))</formula>
    </cfRule>
    <cfRule type="expression" dxfId="38" priority="586">
      <formula>AND((ISNUMBER(SEARCH("I-MUAP",$F$14))),G12&lt;2500)</formula>
    </cfRule>
  </conditionalFormatting>
  <conditionalFormatting sqref="G12:H12">
    <cfRule type="cellIs" dxfId="37" priority="581" operator="lessThan">
      <formula>1000</formula>
    </cfRule>
  </conditionalFormatting>
  <conditionalFormatting sqref="G14:H26">
    <cfRule type="cellIs" dxfId="36" priority="5" operator="lessThan">
      <formula>1000</formula>
    </cfRule>
  </conditionalFormatting>
  <conditionalFormatting sqref="H12">
    <cfRule type="cellIs" dxfId="35" priority="582" operator="greaterThan">
      <formula>3001</formula>
    </cfRule>
  </conditionalFormatting>
  <conditionalFormatting sqref="I11">
    <cfRule type="expression" dxfId="34" priority="584">
      <formula>((H14-50)/J14)&lt;950</formula>
    </cfRule>
  </conditionalFormatting>
  <conditionalFormatting sqref="I12">
    <cfRule type="expression" dxfId="33" priority="583">
      <formula>((H14-50)/J14)&lt;950</formula>
    </cfRule>
  </conditionalFormatting>
  <conditionalFormatting sqref="I14:I26">
    <cfRule type="cellIs" dxfId="32" priority="7" operator="lessThan">
      <formula>400</formula>
    </cfRule>
  </conditionalFormatting>
  <conditionalFormatting sqref="I33">
    <cfRule type="expression" dxfId="31" priority="652">
      <formula>((#REF!-50)/#REF!)&lt;950</formula>
    </cfRule>
  </conditionalFormatting>
  <conditionalFormatting sqref="K14:K30">
    <cfRule type="cellIs" dxfId="30" priority="32" operator="greaterThan">
      <formula>0</formula>
    </cfRule>
  </conditionalFormatting>
  <conditionalFormatting sqref="K36:K46">
    <cfRule type="expression" dxfId="29" priority="389">
      <formula>E36&gt;0</formula>
    </cfRule>
  </conditionalFormatting>
  <conditionalFormatting sqref="K48:K54">
    <cfRule type="expression" dxfId="28" priority="394">
      <formula>#REF!="EURO"</formula>
    </cfRule>
  </conditionalFormatting>
  <conditionalFormatting sqref="L14:L32">
    <cfRule type="cellIs" dxfId="27" priority="1" operator="greaterThan">
      <formula>0</formula>
    </cfRule>
  </conditionalFormatting>
  <conditionalFormatting sqref="L36:L46">
    <cfRule type="cellIs" dxfId="26" priority="400" operator="greaterThan">
      <formula>0</formula>
    </cfRule>
  </conditionalFormatting>
  <conditionalFormatting sqref="L48:L54">
    <cfRule type="expression" dxfId="25" priority="390">
      <formula>$D$9="PLN"</formula>
    </cfRule>
    <cfRule type="expression" dxfId="24" priority="391">
      <formula>$D$9="CZK"</formula>
    </cfRule>
    <cfRule type="expression" dxfId="23" priority="392">
      <formula>$D$9="USD"</formula>
    </cfRule>
    <cfRule type="expression" dxfId="22" priority="393">
      <formula>$D$9="EURO"</formula>
    </cfRule>
  </conditionalFormatting>
  <conditionalFormatting sqref="M14:M32">
    <cfRule type="expression" dxfId="21" priority="26">
      <formula>$E$9&lt;0</formula>
    </cfRule>
    <cfRule type="expression" dxfId="20" priority="27">
      <formula>$E$9&gt;0</formula>
    </cfRule>
  </conditionalFormatting>
  <conditionalFormatting sqref="M36:M46">
    <cfRule type="expression" dxfId="19" priority="25">
      <formula>$E$9&gt;0</formula>
    </cfRule>
    <cfRule type="expression" dxfId="18" priority="24">
      <formula>$E$9&lt;0</formula>
    </cfRule>
  </conditionalFormatting>
  <conditionalFormatting sqref="O9 O12">
    <cfRule type="expression" dxfId="17" priority="646">
      <formula>$D$9="PLN"</formula>
    </cfRule>
    <cfRule type="expression" dxfId="16" priority="647">
      <formula>$D$9="CZK"</formula>
    </cfRule>
    <cfRule type="expression" dxfId="15" priority="648">
      <formula>$D$9="USD"</formula>
    </cfRule>
    <cfRule type="expression" dxfId="14" priority="649">
      <formula>$D$9="EURO"</formula>
    </cfRule>
  </conditionalFormatting>
  <conditionalFormatting sqref="O14:O32">
    <cfRule type="expression" dxfId="13" priority="66">
      <formula>$D$9="EURO"</formula>
    </cfRule>
    <cfRule type="expression" dxfId="12" priority="65">
      <formula>$D$9="USD"</formula>
    </cfRule>
    <cfRule type="expression" dxfId="11" priority="64">
      <formula>$D$9="CZK"</formula>
    </cfRule>
    <cfRule type="expression" dxfId="10" priority="63">
      <formula>$D$9="PLN"</formula>
    </cfRule>
  </conditionalFormatting>
  <conditionalFormatting sqref="O18:O20">
    <cfRule type="cellIs" dxfId="9" priority="102" operator="greaterThan">
      <formula>0</formula>
    </cfRule>
  </conditionalFormatting>
  <conditionalFormatting sqref="O35:O46">
    <cfRule type="expression" dxfId="8" priority="15">
      <formula>$D$9="EURO"</formula>
    </cfRule>
    <cfRule type="expression" dxfId="7" priority="14">
      <formula>$D$9="USD"</formula>
    </cfRule>
    <cfRule type="expression" dxfId="6" priority="13">
      <formula>$D$9="CZK"</formula>
    </cfRule>
    <cfRule type="expression" dxfId="5" priority="12">
      <formula>$D$9="PLN"</formula>
    </cfRule>
  </conditionalFormatting>
  <conditionalFormatting sqref="O14:P32">
    <cfRule type="cellIs" dxfId="4" priority="62" operator="greaterThan">
      <formula>0</formula>
    </cfRule>
  </conditionalFormatting>
  <conditionalFormatting sqref="O36:P46">
    <cfRule type="cellIs" dxfId="3" priority="11" operator="greaterThan">
      <formula>0</formula>
    </cfRule>
  </conditionalFormatting>
  <conditionalFormatting sqref="P14:P20">
    <cfRule type="cellIs" dxfId="2" priority="108" operator="greaterThan">
      <formula>0</formula>
    </cfRule>
  </conditionalFormatting>
  <dataValidations count="3">
    <dataValidation type="list" allowBlank="1" showInputMessage="1" showErrorMessage="1" sqref="F14:F32" xr:uid="{00000000-0002-0000-A800-000000000000}">
      <formula1>"0,1,2,3,4,5,6,7,8,9,10,11,12,13,14,15,16,17,18,19,20"</formula1>
    </dataValidation>
    <dataValidation operator="greaterThan" allowBlank="1" showInputMessage="1" showErrorMessage="1" sqref="G14:G26" xr:uid="{00000000-0002-0000-A800-000001000000}"/>
    <dataValidation type="list" allowBlank="1" showInputMessage="1" showErrorMessage="1" sqref="I34" xr:uid="{00000000-0002-0000-A800-000002000000}">
      <formula1>#REF!</formula1>
    </dataValidation>
  </dataValidations>
  <printOptions horizontalCentered="1"/>
  <pageMargins left="0.19685039370078741" right="0.19685039370078741" top="0.19685039370078741" bottom="0.19685039370078741" header="0.11811023622047249" footer="0.15748031496062989"/>
  <pageSetup paperSize="9" scale="59" orientation="landscape"/>
  <drawing r:id="rId1"/>
</worksheet>
</file>

<file path=xl/worksheets/sheet17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sheetPr codeName="Sheet8">
    <tabColor rgb="FFFF0000"/>
  </sheetPr>
  <dimension ref="A1:BQ207"/>
  <sheetViews>
    <sheetView topLeftCell="J1" zoomScale="80" zoomScaleNormal="80" workbookViewId="0">
      <selection activeCell="N13" sqref="N13"/>
    </sheetView>
  </sheetViews>
  <sheetFormatPr baseColWidth="10" defaultColWidth="8.83203125" defaultRowHeight="14.5" customHeight="1" x14ac:dyDescent="0.15"/>
  <cols>
    <col min="1" max="1" width="31.83203125" style="310" customWidth="1"/>
    <col min="2" max="3" width="12" style="311" customWidth="1"/>
    <col min="4" max="4" width="9.83203125" style="310" customWidth="1"/>
    <col min="5" max="5" width="27" style="310" customWidth="1"/>
    <col min="6" max="6" width="14.6640625" style="310" customWidth="1"/>
    <col min="7" max="7" width="10.5" style="498" bestFit="1" customWidth="1"/>
    <col min="8" max="8" width="3.5" style="311" customWidth="1"/>
    <col min="9" max="9" width="26.83203125" style="310" bestFit="1" customWidth="1"/>
    <col min="10" max="10" width="10.83203125" style="311" bestFit="1" customWidth="1"/>
    <col min="11" max="11" width="11.33203125" style="311" bestFit="1" customWidth="1"/>
    <col min="12" max="12" width="6.6640625" style="310" customWidth="1"/>
    <col min="13" max="13" width="21.5" style="310" customWidth="1"/>
    <col min="14" max="15" width="10.6640625" style="311" customWidth="1"/>
    <col min="16" max="16" width="7.33203125" style="310" customWidth="1"/>
    <col min="17" max="17" width="25.83203125" style="310" customWidth="1"/>
    <col min="18" max="18" width="10.5" style="311" customWidth="1"/>
    <col min="19" max="19" width="11.5" style="310" customWidth="1"/>
    <col min="20" max="20" width="16.5" style="310" customWidth="1"/>
    <col min="21" max="21" width="19.6640625" style="310" bestFit="1" customWidth="1"/>
    <col min="22" max="22" width="12" style="311" customWidth="1"/>
    <col min="23" max="23" width="11" style="311" bestFit="1" customWidth="1"/>
    <col min="24" max="24" width="9.6640625" style="310" customWidth="1"/>
    <col min="25" max="25" width="19.5" style="310" bestFit="1" customWidth="1"/>
    <col min="26" max="26" width="19.5" style="310" customWidth="1"/>
    <col min="27" max="28" width="15.33203125" style="310" customWidth="1"/>
    <col min="29" max="29" width="7.1640625" style="312" bestFit="1" customWidth="1"/>
    <col min="30" max="30" width="9.5" style="310" bestFit="1" customWidth="1"/>
    <col min="31" max="31" width="10.5" style="312" bestFit="1" customWidth="1"/>
    <col min="32" max="32" width="11" style="313" customWidth="1"/>
    <col min="33" max="35" width="8.83203125" style="328" customWidth="1"/>
    <col min="36" max="36" width="7.33203125" style="328" customWidth="1"/>
    <col min="37" max="37" width="25.83203125" style="310" bestFit="1" customWidth="1"/>
    <col min="38" max="38" width="71.5" style="310" bestFit="1" customWidth="1"/>
    <col min="39" max="39" width="12.5" style="310" customWidth="1"/>
    <col min="40" max="40" width="10.5" style="503" bestFit="1" customWidth="1"/>
    <col min="41" max="41" width="11.5" style="503" customWidth="1"/>
    <col min="42" max="42" width="22.5" style="310" bestFit="1" customWidth="1"/>
    <col min="43" max="43" width="13.83203125" style="311" hidden="1" customWidth="1"/>
    <col min="44" max="45" width="12.83203125" style="311" customWidth="1"/>
    <col min="46" max="46" width="9.5" style="310" customWidth="1"/>
    <col min="47" max="47" width="23.33203125" style="310" bestFit="1" customWidth="1"/>
    <col min="48" max="48" width="7.6640625" style="310" bestFit="1" customWidth="1"/>
    <col min="49" max="49" width="23.6640625" style="310" bestFit="1" customWidth="1"/>
    <col min="50" max="50" width="11.33203125" style="311" bestFit="1" customWidth="1"/>
    <col min="51" max="51" width="11.33203125" style="503" bestFit="1" customWidth="1"/>
    <col min="52" max="52" width="12.83203125" style="310" customWidth="1"/>
    <col min="53" max="53" width="8.83203125" style="310" customWidth="1"/>
    <col min="54" max="54" width="12.33203125" style="496" customWidth="1"/>
    <col min="55" max="55" width="10.5" style="496" bestFit="1" customWidth="1"/>
    <col min="56" max="56" width="34.1640625" style="310" bestFit="1" customWidth="1"/>
    <col min="57" max="63" width="8.83203125" style="310" customWidth="1"/>
    <col min="64" max="64" width="10.5" style="310" customWidth="1"/>
    <col min="65" max="67" width="8.83203125" style="310" customWidth="1"/>
    <col min="68" max="68" width="9.6640625" style="310" bestFit="1" customWidth="1"/>
    <col min="69" max="69" width="8.83203125" style="310" customWidth="1"/>
    <col min="70" max="16384" width="8.83203125" style="310"/>
  </cols>
  <sheetData>
    <row r="1" spans="1:69" ht="14.5" customHeight="1" x14ac:dyDescent="0.15">
      <c r="A1" s="1007" t="s">
        <v>771</v>
      </c>
      <c r="B1" s="1008"/>
      <c r="C1" s="1000"/>
      <c r="Y1" s="924"/>
      <c r="AA1" s="494"/>
      <c r="AB1" s="494"/>
      <c r="AC1" s="322" t="s">
        <v>772</v>
      </c>
      <c r="AD1" s="369">
        <v>0.1</v>
      </c>
      <c r="AE1" s="322"/>
      <c r="AF1" s="310"/>
      <c r="AG1" s="314"/>
      <c r="AH1" s="314"/>
      <c r="AI1" s="314"/>
      <c r="AJ1" s="314"/>
      <c r="AN1" s="502" t="s">
        <v>773</v>
      </c>
      <c r="AO1" s="502"/>
    </row>
    <row r="2" spans="1:69" ht="14.5" customHeight="1" x14ac:dyDescent="0.15">
      <c r="A2" s="1011"/>
      <c r="B2" s="1012"/>
      <c r="C2" s="1012"/>
      <c r="Y2" s="924"/>
      <c r="AA2" s="494"/>
      <c r="AB2" s="494"/>
      <c r="AC2" s="322"/>
      <c r="AD2" s="369"/>
      <c r="AE2" s="322"/>
      <c r="AF2" s="310"/>
      <c r="AG2" s="314"/>
      <c r="AH2" s="314"/>
      <c r="AI2" s="314"/>
      <c r="AJ2" s="314"/>
      <c r="AN2" s="502"/>
      <c r="AO2" s="502"/>
    </row>
    <row r="3" spans="1:69" ht="14.5" customHeight="1" x14ac:dyDescent="0.15">
      <c r="B3" s="917">
        <v>45658</v>
      </c>
      <c r="C3" s="923">
        <v>45292</v>
      </c>
      <c r="F3" s="917">
        <v>45658</v>
      </c>
      <c r="G3" s="923">
        <v>44835</v>
      </c>
      <c r="J3" s="917">
        <v>45658</v>
      </c>
      <c r="K3" s="923">
        <v>45292</v>
      </c>
      <c r="N3" s="917">
        <v>45658</v>
      </c>
      <c r="O3" s="923">
        <v>45149</v>
      </c>
      <c r="R3" s="917">
        <v>45658</v>
      </c>
      <c r="S3" s="922">
        <v>45108</v>
      </c>
      <c r="V3" s="930">
        <v>45778</v>
      </c>
      <c r="W3" s="923">
        <v>45658</v>
      </c>
      <c r="AA3" s="917">
        <v>45658</v>
      </c>
      <c r="AB3" s="922">
        <v>45108</v>
      </c>
      <c r="AC3" s="310" t="s">
        <v>774</v>
      </c>
      <c r="AD3" s="312">
        <v>0.2</v>
      </c>
      <c r="AG3" s="314"/>
      <c r="AH3" s="314"/>
      <c r="AI3" s="314"/>
      <c r="AJ3" s="314"/>
      <c r="AL3" s="793"/>
      <c r="AM3" s="917">
        <v>45658</v>
      </c>
      <c r="AN3" s="923">
        <v>44835</v>
      </c>
      <c r="AQ3" s="315"/>
      <c r="AR3" s="917">
        <v>45658</v>
      </c>
      <c r="AS3" s="921">
        <v>45108</v>
      </c>
      <c r="AX3" s="917">
        <v>45658</v>
      </c>
      <c r="AY3" s="923">
        <v>44835</v>
      </c>
      <c r="BB3" s="495" t="s">
        <v>775</v>
      </c>
    </row>
    <row r="4" spans="1:69" s="316" customFormat="1" ht="14.5" customHeight="1" x14ac:dyDescent="0.15">
      <c r="A4" s="332" t="s">
        <v>93</v>
      </c>
      <c r="B4" s="332">
        <v>0</v>
      </c>
      <c r="C4" s="332"/>
      <c r="E4" s="332" t="s">
        <v>95</v>
      </c>
      <c r="F4" s="332">
        <v>0</v>
      </c>
      <c r="G4" s="332">
        <v>0</v>
      </c>
      <c r="H4" s="332"/>
      <c r="I4" s="332" t="s">
        <v>481</v>
      </c>
      <c r="J4" s="332">
        <v>0</v>
      </c>
      <c r="K4" s="332"/>
      <c r="M4" s="332" t="s">
        <v>65</v>
      </c>
      <c r="N4" s="332">
        <v>0</v>
      </c>
      <c r="O4" s="332"/>
      <c r="Q4" s="332" t="s">
        <v>776</v>
      </c>
      <c r="R4" s="332">
        <v>0</v>
      </c>
      <c r="S4" s="332">
        <v>0</v>
      </c>
      <c r="U4" s="332" t="s">
        <v>331</v>
      </c>
      <c r="V4" s="332">
        <v>0</v>
      </c>
      <c r="W4" s="332"/>
      <c r="Y4" s="332" t="s">
        <v>777</v>
      </c>
      <c r="Z4" s="336" t="s">
        <v>778</v>
      </c>
      <c r="AA4" s="332">
        <v>0</v>
      </c>
      <c r="AB4" s="332"/>
      <c r="AC4" s="337" t="s">
        <v>779</v>
      </c>
      <c r="AD4" s="336" t="s">
        <v>57</v>
      </c>
      <c r="AE4" s="337" t="s">
        <v>59</v>
      </c>
      <c r="AF4" s="335"/>
      <c r="AG4" s="338" t="s">
        <v>778</v>
      </c>
      <c r="AH4" s="339"/>
      <c r="AI4" s="339"/>
      <c r="AK4" s="332"/>
      <c r="AL4" s="332" t="s">
        <v>780</v>
      </c>
      <c r="AM4" s="332"/>
      <c r="AN4" s="332"/>
      <c r="AO4" s="499"/>
      <c r="AP4" s="332" t="s">
        <v>30</v>
      </c>
      <c r="AQ4" s="332" t="s">
        <v>781</v>
      </c>
      <c r="AR4" s="332" t="s">
        <v>577</v>
      </c>
      <c r="AS4" s="332"/>
      <c r="AU4" s="332" t="s">
        <v>33</v>
      </c>
      <c r="AV4" s="332"/>
      <c r="AW4" s="332"/>
      <c r="AX4" s="332"/>
      <c r="AY4" s="925"/>
      <c r="BB4" s="497" t="s">
        <v>372</v>
      </c>
      <c r="BC4" s="497" t="s">
        <v>16</v>
      </c>
      <c r="BD4" s="928">
        <v>0.06</v>
      </c>
    </row>
    <row r="5" spans="1:69" ht="14.5" customHeight="1" x14ac:dyDescent="0.15">
      <c r="A5" s="310" t="s">
        <v>782</v>
      </c>
      <c r="B5" s="779">
        <v>95.4</v>
      </c>
      <c r="C5" s="500">
        <v>90</v>
      </c>
      <c r="E5" s="790" t="s">
        <v>137</v>
      </c>
      <c r="F5" s="779">
        <v>1961</v>
      </c>
      <c r="G5" s="500">
        <v>1850</v>
      </c>
      <c r="H5" s="321"/>
      <c r="I5" s="322" t="s">
        <v>783</v>
      </c>
      <c r="J5" s="779">
        <v>1331.36</v>
      </c>
      <c r="K5" s="500">
        <v>1256</v>
      </c>
      <c r="M5" s="322" t="s">
        <v>784</v>
      </c>
      <c r="N5" s="779">
        <v>189.96260000000001</v>
      </c>
      <c r="O5" s="500">
        <v>179.21</v>
      </c>
      <c r="Q5" s="322" t="s">
        <v>785</v>
      </c>
      <c r="R5" s="794">
        <v>0</v>
      </c>
      <c r="S5" s="500">
        <v>0</v>
      </c>
      <c r="T5" s="310">
        <f t="shared" ref="T5:T13" si="0">R5*1.06</f>
        <v>0</v>
      </c>
      <c r="U5" s="322" t="s">
        <v>345</v>
      </c>
      <c r="V5" s="794">
        <v>2144.66</v>
      </c>
      <c r="W5" s="500">
        <v>2092.6</v>
      </c>
      <c r="Y5" s="310" t="s">
        <v>786</v>
      </c>
      <c r="Z5" s="323" t="s">
        <v>787</v>
      </c>
      <c r="AA5" s="794">
        <v>985.10040000000004</v>
      </c>
      <c r="AB5" s="500">
        <v>929.34</v>
      </c>
      <c r="AC5" s="312">
        <v>4</v>
      </c>
      <c r="AD5" s="323" t="s">
        <v>772</v>
      </c>
      <c r="AE5" s="312">
        <v>1</v>
      </c>
      <c r="AF5" s="313">
        <f t="shared" ref="AF5:AF16" si="1">IF(AD5="S",AC5*$AD$1*AE5,AC5*$AD$3*AE5)</f>
        <v>0.4</v>
      </c>
      <c r="AG5" s="314" t="str">
        <f t="shared" ref="AG5:AG10" si="2">$AG$4&amp;AH5</f>
        <v>UVR8L</v>
      </c>
      <c r="AH5" s="324" t="s">
        <v>788</v>
      </c>
      <c r="AI5" s="314">
        <v>1.6</v>
      </c>
      <c r="AJ5" s="918"/>
      <c r="AK5" s="325" t="s">
        <v>516</v>
      </c>
      <c r="AL5" s="407" t="s">
        <v>789</v>
      </c>
      <c r="AM5" s="794">
        <v>19.027000000000001</v>
      </c>
      <c r="AN5" s="504">
        <v>17.95</v>
      </c>
      <c r="AO5" s="919"/>
      <c r="AP5" s="340" t="s">
        <v>578</v>
      </c>
      <c r="AQ5" s="334"/>
      <c r="AR5" s="334"/>
      <c r="AS5" s="334"/>
      <c r="AU5" s="340" t="s">
        <v>790</v>
      </c>
      <c r="AV5" s="341" t="s">
        <v>791</v>
      </c>
      <c r="AW5" s="340"/>
      <c r="AX5" s="340"/>
      <c r="AY5" s="926"/>
      <c r="BB5" s="929">
        <v>45658</v>
      </c>
      <c r="BC5" s="717"/>
      <c r="BD5" s="522" t="s">
        <v>373</v>
      </c>
    </row>
    <row r="6" spans="1:69" ht="14.5" customHeight="1" x14ac:dyDescent="0.15">
      <c r="A6" s="310" t="s">
        <v>792</v>
      </c>
      <c r="B6" s="779">
        <v>38.467399999999998</v>
      </c>
      <c r="C6" s="500">
        <v>36.29</v>
      </c>
      <c r="E6" s="790" t="s">
        <v>138</v>
      </c>
      <c r="F6" s="779">
        <v>424</v>
      </c>
      <c r="G6" s="500">
        <v>400</v>
      </c>
      <c r="H6" s="321"/>
      <c r="I6" s="322" t="s">
        <v>793</v>
      </c>
      <c r="J6" s="779">
        <v>1365.28</v>
      </c>
      <c r="K6" s="500">
        <v>1288</v>
      </c>
      <c r="M6" s="322" t="s">
        <v>794</v>
      </c>
      <c r="N6" s="779">
        <v>228.01660000000001</v>
      </c>
      <c r="O6" s="500">
        <v>215.11</v>
      </c>
      <c r="Q6" s="322" t="s">
        <v>795</v>
      </c>
      <c r="R6" s="794">
        <v>33.018999999999998</v>
      </c>
      <c r="S6" s="500">
        <v>31.15</v>
      </c>
      <c r="T6" s="310">
        <f t="shared" si="0"/>
        <v>35.000140000000002</v>
      </c>
      <c r="U6" s="322" t="s">
        <v>346</v>
      </c>
      <c r="V6" s="794">
        <v>0</v>
      </c>
      <c r="W6" s="500">
        <v>0</v>
      </c>
      <c r="Y6" s="310" t="s">
        <v>796</v>
      </c>
      <c r="Z6" s="323" t="s">
        <v>797</v>
      </c>
      <c r="AA6" s="794">
        <v>1635.7284</v>
      </c>
      <c r="AB6" s="500">
        <v>1543.14</v>
      </c>
      <c r="AC6" s="312">
        <v>4</v>
      </c>
      <c r="AD6" s="323" t="s">
        <v>772</v>
      </c>
      <c r="AE6" s="312">
        <v>2</v>
      </c>
      <c r="AF6" s="313">
        <f t="shared" si="1"/>
        <v>0.8</v>
      </c>
      <c r="AG6" s="314" t="str">
        <f t="shared" si="2"/>
        <v>UVR6L</v>
      </c>
      <c r="AH6" s="324" t="s">
        <v>798</v>
      </c>
      <c r="AI6" s="314">
        <v>1.2</v>
      </c>
      <c r="AJ6" s="918"/>
      <c r="AK6" s="325" t="s">
        <v>518</v>
      </c>
      <c r="AL6" s="407" t="s">
        <v>519</v>
      </c>
      <c r="AM6" s="794">
        <v>33.994199999999999</v>
      </c>
      <c r="AN6" s="504">
        <v>32.07</v>
      </c>
      <c r="AO6" s="919"/>
      <c r="AP6" s="322" t="s">
        <v>374</v>
      </c>
      <c r="AQ6" s="311">
        <v>0</v>
      </c>
      <c r="AU6" s="325" t="s">
        <v>799</v>
      </c>
      <c r="AV6" s="327">
        <v>15</v>
      </c>
      <c r="AW6" s="407" t="s">
        <v>800</v>
      </c>
      <c r="AX6" s="795">
        <v>683.56220000000008</v>
      </c>
      <c r="AY6" s="505">
        <v>644.87</v>
      </c>
      <c r="BB6" s="1007" t="s">
        <v>771</v>
      </c>
      <c r="BC6" s="1008"/>
      <c r="BD6" s="1000"/>
    </row>
    <row r="7" spans="1:69" ht="14.5" customHeight="1" x14ac:dyDescent="0.15">
      <c r="A7" s="310" t="s">
        <v>801</v>
      </c>
      <c r="B7" s="779">
        <v>86.697400000000016</v>
      </c>
      <c r="C7" s="500">
        <v>81.790000000000006</v>
      </c>
      <c r="E7" s="790" t="s">
        <v>139</v>
      </c>
      <c r="F7" s="779">
        <v>424</v>
      </c>
      <c r="G7" s="500">
        <v>400</v>
      </c>
      <c r="H7" s="321"/>
      <c r="I7" s="322" t="s">
        <v>802</v>
      </c>
      <c r="J7" s="779">
        <v>1565.62</v>
      </c>
      <c r="K7" s="500">
        <v>1477</v>
      </c>
      <c r="M7" s="322" t="s">
        <v>803</v>
      </c>
      <c r="N7" s="779">
        <v>294.78600000000012</v>
      </c>
      <c r="O7" s="500">
        <v>278.10000000000002</v>
      </c>
      <c r="Q7" s="322" t="s">
        <v>804</v>
      </c>
      <c r="R7" s="794">
        <v>84.800000000000011</v>
      </c>
      <c r="S7" s="500">
        <v>80</v>
      </c>
      <c r="T7" s="310">
        <f t="shared" si="0"/>
        <v>89.888000000000019</v>
      </c>
      <c r="U7" s="322" t="s">
        <v>347</v>
      </c>
      <c r="V7" s="794">
        <v>2144.66</v>
      </c>
      <c r="W7" s="500">
        <v>2092.6</v>
      </c>
      <c r="Y7" s="310" t="s">
        <v>805</v>
      </c>
      <c r="Z7" s="323" t="s">
        <v>806</v>
      </c>
      <c r="AA7" s="794">
        <v>2286.3245999999999</v>
      </c>
      <c r="AB7" s="500">
        <v>2156.91</v>
      </c>
      <c r="AC7" s="312">
        <v>4</v>
      </c>
      <c r="AD7" s="323" t="s">
        <v>772</v>
      </c>
      <c r="AE7" s="312">
        <v>3</v>
      </c>
      <c r="AF7" s="313">
        <f t="shared" si="1"/>
        <v>1.2000000000000002</v>
      </c>
      <c r="AG7" s="314" t="str">
        <f t="shared" si="2"/>
        <v>UVR4L</v>
      </c>
      <c r="AH7" s="324" t="s">
        <v>807</v>
      </c>
      <c r="AI7" s="314">
        <v>0.8</v>
      </c>
      <c r="AJ7" s="918"/>
      <c r="AK7" s="325" t="s">
        <v>520</v>
      </c>
      <c r="AL7" s="325" t="s">
        <v>521</v>
      </c>
      <c r="AM7" s="794">
        <v>8.9782000000000011</v>
      </c>
      <c r="AN7" s="504">
        <v>8.4700000000000006</v>
      </c>
      <c r="AO7" s="919"/>
      <c r="AP7" s="322" t="s">
        <v>808</v>
      </c>
      <c r="AQ7" s="311">
        <f>(POLLUSTOP!$G$39*0.94)+AR7</f>
        <v>2326.08</v>
      </c>
      <c r="AR7" s="801">
        <v>868.1400000000001</v>
      </c>
      <c r="AS7" s="498">
        <v>819</v>
      </c>
      <c r="AU7" s="325" t="s">
        <v>799</v>
      </c>
      <c r="AV7" s="327">
        <v>15</v>
      </c>
      <c r="AW7" s="407" t="s">
        <v>809</v>
      </c>
      <c r="AX7" s="795">
        <v>858.30320000000006</v>
      </c>
      <c r="AY7" s="505">
        <v>809.72</v>
      </c>
      <c r="BB7" s="718" t="s">
        <v>810</v>
      </c>
    </row>
    <row r="8" spans="1:69" ht="14.5" customHeight="1" x14ac:dyDescent="0.15">
      <c r="A8" s="322" t="s">
        <v>811</v>
      </c>
      <c r="B8" s="779">
        <v>132.5</v>
      </c>
      <c r="C8" s="500">
        <v>125</v>
      </c>
      <c r="E8" s="790" t="s">
        <v>140</v>
      </c>
      <c r="F8" s="779">
        <v>424</v>
      </c>
      <c r="G8" s="500">
        <v>400</v>
      </c>
      <c r="H8" s="321"/>
      <c r="I8" s="322" t="s">
        <v>812</v>
      </c>
      <c r="J8" s="779">
        <v>2280.06</v>
      </c>
      <c r="K8" s="500">
        <v>2151</v>
      </c>
      <c r="M8" s="322" t="s">
        <v>813</v>
      </c>
      <c r="N8" s="779">
        <v>111.3</v>
      </c>
      <c r="O8" s="500">
        <v>105</v>
      </c>
      <c r="Q8" s="322" t="s">
        <v>814</v>
      </c>
      <c r="R8" s="794">
        <v>0</v>
      </c>
      <c r="S8" s="500">
        <v>0</v>
      </c>
      <c r="T8" s="310">
        <f t="shared" si="0"/>
        <v>0</v>
      </c>
      <c r="U8" s="322" t="s">
        <v>348</v>
      </c>
      <c r="V8" s="794">
        <v>0</v>
      </c>
      <c r="W8" s="500">
        <v>0</v>
      </c>
      <c r="Y8" s="310" t="s">
        <v>815</v>
      </c>
      <c r="Z8" s="323" t="s">
        <v>816</v>
      </c>
      <c r="AA8" s="794">
        <v>2936.9207999999999</v>
      </c>
      <c r="AB8" s="500">
        <v>2770.68</v>
      </c>
      <c r="AC8" s="312">
        <v>4</v>
      </c>
      <c r="AD8" s="323" t="s">
        <v>772</v>
      </c>
      <c r="AE8" s="312">
        <v>4</v>
      </c>
      <c r="AF8" s="313">
        <f t="shared" si="1"/>
        <v>1.6</v>
      </c>
      <c r="AG8" s="314" t="str">
        <f t="shared" si="2"/>
        <v>UVR8S</v>
      </c>
      <c r="AH8" s="324" t="s">
        <v>817</v>
      </c>
      <c r="AI8" s="314">
        <v>0.8</v>
      </c>
      <c r="AJ8" s="918"/>
      <c r="AK8" s="325" t="s">
        <v>524</v>
      </c>
      <c r="AL8" s="407" t="s">
        <v>818</v>
      </c>
      <c r="AM8" s="794">
        <v>162.57220000000001</v>
      </c>
      <c r="AN8" s="504">
        <v>153.37</v>
      </c>
      <c r="AO8" s="919"/>
      <c r="AP8" s="322" t="s">
        <v>819</v>
      </c>
      <c r="AQ8" s="311">
        <f>AR8+(POLLUSTOP!$G$40*0.94)</f>
        <v>1659.02</v>
      </c>
      <c r="AR8" s="801">
        <v>1111.94</v>
      </c>
      <c r="AS8" s="498">
        <v>1049</v>
      </c>
      <c r="AU8" s="325" t="s">
        <v>820</v>
      </c>
      <c r="AV8" s="327">
        <v>12</v>
      </c>
      <c r="AW8" s="325" t="s">
        <v>821</v>
      </c>
      <c r="AX8" s="795">
        <v>514.32259999999997</v>
      </c>
      <c r="AY8" s="505">
        <v>485.21</v>
      </c>
    </row>
    <row r="9" spans="1:69" ht="14.5" customHeight="1" x14ac:dyDescent="0.15">
      <c r="A9" s="310" t="s">
        <v>464</v>
      </c>
      <c r="B9" s="779">
        <v>275.60000000000002</v>
      </c>
      <c r="C9" s="500">
        <v>260</v>
      </c>
      <c r="E9" s="790" t="s">
        <v>141</v>
      </c>
      <c r="F9" s="779">
        <v>1203.0999999999999</v>
      </c>
      <c r="G9" s="500">
        <v>1135</v>
      </c>
      <c r="H9" s="321"/>
      <c r="I9" s="322" t="s">
        <v>822</v>
      </c>
      <c r="J9" s="779">
        <v>2629.86</v>
      </c>
      <c r="K9" s="500">
        <v>2481</v>
      </c>
      <c r="M9" s="322" t="s">
        <v>823</v>
      </c>
      <c r="N9" s="779">
        <v>121.9</v>
      </c>
      <c r="O9" s="500">
        <v>115</v>
      </c>
      <c r="Q9" s="322" t="s">
        <v>824</v>
      </c>
      <c r="R9" s="794">
        <v>46.258400000000002</v>
      </c>
      <c r="S9" s="500">
        <v>43.64</v>
      </c>
      <c r="T9" s="310">
        <f t="shared" si="0"/>
        <v>49.033904000000007</v>
      </c>
      <c r="U9" s="322" t="s">
        <v>825</v>
      </c>
      <c r="V9" s="794">
        <v>0</v>
      </c>
      <c r="W9" s="500">
        <v>0</v>
      </c>
      <c r="Y9" s="310" t="s">
        <v>826</v>
      </c>
      <c r="Z9" s="323" t="s">
        <v>827</v>
      </c>
      <c r="AA9" s="794">
        <v>3587.5169999999998</v>
      </c>
      <c r="AB9" s="500">
        <v>3384.45</v>
      </c>
      <c r="AC9" s="312">
        <v>4</v>
      </c>
      <c r="AD9" s="323" t="s">
        <v>772</v>
      </c>
      <c r="AE9" s="312">
        <v>5</v>
      </c>
      <c r="AF9" s="313">
        <f t="shared" si="1"/>
        <v>2</v>
      </c>
      <c r="AG9" s="314" t="str">
        <f t="shared" si="2"/>
        <v>UVR6S</v>
      </c>
      <c r="AH9" s="324" t="s">
        <v>828</v>
      </c>
      <c r="AI9" s="314">
        <v>0.6</v>
      </c>
      <c r="AJ9" s="918"/>
      <c r="AK9" s="325" t="s">
        <v>526</v>
      </c>
      <c r="AL9" s="407" t="s">
        <v>527</v>
      </c>
      <c r="AM9" s="794">
        <v>0</v>
      </c>
      <c r="AN9" s="504">
        <v>0</v>
      </c>
      <c r="AO9" s="919"/>
      <c r="AP9" s="322" t="s">
        <v>829</v>
      </c>
      <c r="AQ9" s="311">
        <f>AR9+(POLLUSTOP!$G$41*0.94)</f>
        <v>1303.8</v>
      </c>
      <c r="AR9" s="801">
        <v>1303.8</v>
      </c>
      <c r="AS9" s="498">
        <v>1230</v>
      </c>
      <c r="AU9" s="325" t="s">
        <v>820</v>
      </c>
      <c r="AV9" s="327">
        <v>13</v>
      </c>
      <c r="AW9" s="325" t="s">
        <v>830</v>
      </c>
      <c r="AX9" s="795">
        <v>660.80399999999997</v>
      </c>
      <c r="AY9" s="505">
        <v>623.4</v>
      </c>
    </row>
    <row r="10" spans="1:69" ht="14.5" customHeight="1" x14ac:dyDescent="0.15">
      <c r="A10" s="310" t="s">
        <v>831</v>
      </c>
      <c r="B10" s="779">
        <v>86.697400000000016</v>
      </c>
      <c r="C10" s="500">
        <v>81.790000000000006</v>
      </c>
      <c r="E10" s="790" t="s">
        <v>832</v>
      </c>
      <c r="F10" s="779">
        <v>408.1</v>
      </c>
      <c r="G10" s="500">
        <v>385</v>
      </c>
      <c r="H10" s="321"/>
      <c r="I10" s="322" t="s">
        <v>833</v>
      </c>
      <c r="J10" s="779">
        <v>2799.46</v>
      </c>
      <c r="K10" s="500">
        <v>2641</v>
      </c>
      <c r="M10" s="322" t="s">
        <v>834</v>
      </c>
      <c r="N10" s="779">
        <v>247</v>
      </c>
      <c r="O10" s="500">
        <v>182.49</v>
      </c>
      <c r="Q10" s="310" t="s">
        <v>835</v>
      </c>
      <c r="R10" s="794">
        <v>73.712400000000017</v>
      </c>
      <c r="S10" s="500">
        <v>69.540000000000006</v>
      </c>
      <c r="T10" s="310">
        <f t="shared" si="0"/>
        <v>78.135144000000025</v>
      </c>
      <c r="U10" s="322" t="s">
        <v>350</v>
      </c>
      <c r="V10" s="794">
        <v>0</v>
      </c>
      <c r="W10" s="500">
        <v>0</v>
      </c>
      <c r="Y10" s="310" t="s">
        <v>836</v>
      </c>
      <c r="Z10" s="323" t="s">
        <v>837</v>
      </c>
      <c r="AA10" s="794">
        <v>4238.1131999999998</v>
      </c>
      <c r="AB10" s="500">
        <v>3998.22</v>
      </c>
      <c r="AC10" s="312">
        <v>4</v>
      </c>
      <c r="AD10" s="323" t="s">
        <v>772</v>
      </c>
      <c r="AE10" s="312">
        <v>6</v>
      </c>
      <c r="AF10" s="313">
        <f t="shared" si="1"/>
        <v>2.4000000000000004</v>
      </c>
      <c r="AG10" s="314" t="str">
        <f t="shared" si="2"/>
        <v>UVR4S</v>
      </c>
      <c r="AH10" s="324" t="s">
        <v>838</v>
      </c>
      <c r="AI10" s="314">
        <v>0.2</v>
      </c>
      <c r="AJ10" s="918"/>
      <c r="AK10" s="325" t="s">
        <v>528</v>
      </c>
      <c r="AL10" s="325" t="s">
        <v>529</v>
      </c>
      <c r="AM10" s="794">
        <v>45.283200000000001</v>
      </c>
      <c r="AN10" s="504">
        <v>42.72</v>
      </c>
      <c r="AO10" s="919"/>
      <c r="AP10" s="322" t="s">
        <v>839</v>
      </c>
      <c r="AQ10" s="311">
        <f>AR10+(POLLUSTOP!$G$41*0.94)</f>
        <v>1428.88</v>
      </c>
      <c r="AR10" s="801">
        <v>1428.88</v>
      </c>
      <c r="AS10" s="498">
        <v>1348</v>
      </c>
      <c r="AU10" s="325" t="s">
        <v>820</v>
      </c>
      <c r="AV10" s="327">
        <v>13</v>
      </c>
      <c r="AW10" s="325" t="s">
        <v>840</v>
      </c>
      <c r="AX10" s="795">
        <v>750.53300000000002</v>
      </c>
      <c r="AY10" s="505">
        <v>708.05</v>
      </c>
    </row>
    <row r="11" spans="1:69" ht="14.5" customHeight="1" x14ac:dyDescent="0.15">
      <c r="A11" s="322" t="s">
        <v>335</v>
      </c>
      <c r="B11" s="779">
        <v>127.2</v>
      </c>
      <c r="C11" s="500">
        <v>120</v>
      </c>
      <c r="E11" s="790" t="s">
        <v>143</v>
      </c>
      <c r="F11" s="779">
        <v>344.5</v>
      </c>
      <c r="G11" s="500">
        <v>325</v>
      </c>
      <c r="H11" s="321"/>
      <c r="M11" s="322" t="s">
        <v>841</v>
      </c>
      <c r="N11" s="779">
        <v>297</v>
      </c>
      <c r="O11" s="500">
        <v>227.89</v>
      </c>
      <c r="Q11" s="322" t="s">
        <v>842</v>
      </c>
      <c r="R11" s="794">
        <v>1.06</v>
      </c>
      <c r="S11" s="500">
        <v>1</v>
      </c>
      <c r="T11" s="310">
        <f t="shared" si="0"/>
        <v>1.1236000000000002</v>
      </c>
      <c r="U11" s="322" t="s">
        <v>351</v>
      </c>
      <c r="V11" s="794">
        <v>3231.05</v>
      </c>
      <c r="W11" s="500">
        <v>3150.49</v>
      </c>
      <c r="Y11" s="310" t="s">
        <v>843</v>
      </c>
      <c r="Z11" s="323" t="s">
        <v>844</v>
      </c>
      <c r="AA11" s="794">
        <v>4888.7093999999997</v>
      </c>
      <c r="AB11" s="500">
        <v>4611.99</v>
      </c>
      <c r="AC11" s="312">
        <v>4</v>
      </c>
      <c r="AD11" s="323" t="s">
        <v>772</v>
      </c>
      <c r="AE11" s="312">
        <v>7</v>
      </c>
      <c r="AF11" s="313">
        <f t="shared" si="1"/>
        <v>2.8000000000000003</v>
      </c>
      <c r="AI11" s="314"/>
      <c r="AJ11" s="918"/>
      <c r="AK11" s="325" t="s">
        <v>530</v>
      </c>
      <c r="AL11" s="325" t="s">
        <v>531</v>
      </c>
      <c r="AM11" s="794">
        <v>44.710799999999999</v>
      </c>
      <c r="AN11" s="504">
        <v>42.18</v>
      </c>
      <c r="AO11" s="919"/>
      <c r="AP11" s="322" t="s">
        <v>845</v>
      </c>
      <c r="AQ11" s="311">
        <f>AR11+(POLLUSTOP!$G$42*0.94)</f>
        <v>1592.12</v>
      </c>
      <c r="AR11" s="801">
        <v>1592.12</v>
      </c>
      <c r="AS11" s="498">
        <v>1502</v>
      </c>
      <c r="AU11" s="325" t="s">
        <v>846</v>
      </c>
      <c r="AV11" s="327">
        <v>9</v>
      </c>
      <c r="AW11" s="325" t="s">
        <v>821</v>
      </c>
      <c r="AX11" s="795">
        <v>412.7004</v>
      </c>
      <c r="AY11" s="505">
        <v>389.34</v>
      </c>
    </row>
    <row r="12" spans="1:69" ht="14.5" customHeight="1" x14ac:dyDescent="0.15">
      <c r="A12" s="310" t="s">
        <v>847</v>
      </c>
      <c r="B12" s="779">
        <v>60.494200000000014</v>
      </c>
      <c r="C12" s="500">
        <v>57.07</v>
      </c>
      <c r="E12" s="790" t="s">
        <v>144</v>
      </c>
      <c r="F12" s="779">
        <v>306.33999999999997</v>
      </c>
      <c r="G12" s="500">
        <v>289</v>
      </c>
      <c r="H12" s="321"/>
      <c r="I12" s="332" t="s">
        <v>483</v>
      </c>
      <c r="J12" s="332"/>
      <c r="K12" s="332"/>
      <c r="M12" s="322" t="s">
        <v>848</v>
      </c>
      <c r="N12" s="779">
        <v>384</v>
      </c>
      <c r="O12" s="500">
        <v>273.87</v>
      </c>
      <c r="Q12" s="322" t="s">
        <v>849</v>
      </c>
      <c r="R12" s="794">
        <v>112.678</v>
      </c>
      <c r="S12" s="500">
        <v>106.3</v>
      </c>
      <c r="T12" s="310">
        <f t="shared" si="0"/>
        <v>119.43868000000001</v>
      </c>
      <c r="U12" s="322" t="s">
        <v>352</v>
      </c>
      <c r="V12" s="794">
        <v>0</v>
      </c>
      <c r="W12" s="500">
        <v>0</v>
      </c>
      <c r="Y12" s="310" t="s">
        <v>850</v>
      </c>
      <c r="Z12" s="323" t="s">
        <v>851</v>
      </c>
      <c r="AA12" s="794">
        <v>5539.3056000000006</v>
      </c>
      <c r="AB12" s="500">
        <v>5225.76</v>
      </c>
      <c r="AC12" s="312">
        <v>4</v>
      </c>
      <c r="AD12" s="323" t="s">
        <v>772</v>
      </c>
      <c r="AE12" s="312">
        <v>8</v>
      </c>
      <c r="AF12" s="313">
        <f t="shared" si="1"/>
        <v>3.2</v>
      </c>
      <c r="AI12" s="314"/>
      <c r="AJ12" s="918"/>
      <c r="AK12" s="325" t="s">
        <v>532</v>
      </c>
      <c r="AL12" s="325" t="s">
        <v>533</v>
      </c>
      <c r="AM12" s="794">
        <v>17.744399999999999</v>
      </c>
      <c r="AN12" s="504">
        <v>16.739999999999998</v>
      </c>
      <c r="AO12" s="919"/>
      <c r="AP12" s="322" t="s">
        <v>852</v>
      </c>
      <c r="AQ12" s="311">
        <f>AR12+(POLLUSTOP!$G$42*0.94)</f>
        <v>1699.18</v>
      </c>
      <c r="AR12" s="801">
        <v>1699.18</v>
      </c>
      <c r="AS12" s="498">
        <v>1603</v>
      </c>
      <c r="AU12" s="325" t="s">
        <v>846</v>
      </c>
      <c r="AV12" s="327">
        <v>10</v>
      </c>
      <c r="AW12" s="325" t="s">
        <v>830</v>
      </c>
      <c r="AX12" s="795">
        <v>535.6816</v>
      </c>
      <c r="AY12" s="505">
        <v>505.36</v>
      </c>
    </row>
    <row r="13" spans="1:69" ht="14.5" customHeight="1" x14ac:dyDescent="0.2">
      <c r="A13" s="310" t="s">
        <v>853</v>
      </c>
      <c r="B13" s="779">
        <v>566.77140000000009</v>
      </c>
      <c r="C13" s="500">
        <v>534.69000000000005</v>
      </c>
      <c r="E13" s="790" t="s">
        <v>854</v>
      </c>
      <c r="F13" s="779">
        <v>434.6</v>
      </c>
      <c r="G13" s="500">
        <v>410</v>
      </c>
      <c r="H13" s="321"/>
      <c r="I13" s="310" t="s">
        <v>855</v>
      </c>
      <c r="J13" s="779">
        <v>429.3</v>
      </c>
      <c r="K13" s="500">
        <v>405</v>
      </c>
      <c r="N13" s="694"/>
      <c r="O13" s="500"/>
      <c r="Q13" s="322" t="s">
        <v>856</v>
      </c>
      <c r="R13" s="801">
        <v>25.334</v>
      </c>
      <c r="S13" s="311">
        <v>23.9</v>
      </c>
      <c r="T13" s="310">
        <f t="shared" si="0"/>
        <v>26.854040000000001</v>
      </c>
      <c r="U13" s="322" t="s">
        <v>353</v>
      </c>
      <c r="V13" s="794">
        <v>3231.05</v>
      </c>
      <c r="W13" s="500">
        <v>3150.49</v>
      </c>
      <c r="Y13" s="310" t="s">
        <v>857</v>
      </c>
      <c r="Z13" s="323" t="s">
        <v>858</v>
      </c>
      <c r="AA13" s="794">
        <v>6189.9017999999996</v>
      </c>
      <c r="AB13" s="500">
        <v>5839.53</v>
      </c>
      <c r="AC13" s="312">
        <v>4</v>
      </c>
      <c r="AD13" s="323" t="s">
        <v>772</v>
      </c>
      <c r="AE13" s="312">
        <v>9</v>
      </c>
      <c r="AF13" s="313">
        <f t="shared" si="1"/>
        <v>3.6</v>
      </c>
      <c r="AI13" s="314"/>
      <c r="AJ13" s="918"/>
      <c r="AK13" s="325" t="s">
        <v>859</v>
      </c>
      <c r="AL13" s="407" t="s">
        <v>535</v>
      </c>
      <c r="AM13" s="794">
        <v>198.22</v>
      </c>
      <c r="AN13" s="504">
        <v>187</v>
      </c>
      <c r="AO13" s="919"/>
      <c r="AP13" s="322" t="s">
        <v>860</v>
      </c>
      <c r="AQ13" s="311">
        <f>AR13+(POLLUSTOP!$G$43*0.94)</f>
        <v>2171.98</v>
      </c>
      <c r="AR13" s="801">
        <v>1889.98</v>
      </c>
      <c r="AS13" s="498">
        <v>1783</v>
      </c>
      <c r="AU13" s="325" t="s">
        <v>846</v>
      </c>
      <c r="AV13" s="327">
        <v>10</v>
      </c>
      <c r="AW13" s="325" t="s">
        <v>840</v>
      </c>
      <c r="AX13" s="795">
        <v>625.4</v>
      </c>
      <c r="AY13" s="505">
        <v>590</v>
      </c>
      <c r="BB13" s="716"/>
      <c r="BD13" s="322"/>
      <c r="BF13" s="1009"/>
      <c r="BG13" s="1006"/>
      <c r="BH13" s="1006"/>
      <c r="BI13" s="1006"/>
      <c r="BJ13" s="129"/>
      <c r="BK13" s="129"/>
      <c r="BL13" s="1009"/>
      <c r="BM13" s="1006"/>
      <c r="BN13" s="1006"/>
      <c r="BO13" s="1006"/>
      <c r="BP13" s="129"/>
      <c r="BQ13" s="322"/>
    </row>
    <row r="14" spans="1:69" ht="14.5" customHeight="1" x14ac:dyDescent="0.2">
      <c r="A14" s="322" t="s">
        <v>861</v>
      </c>
      <c r="B14" s="779">
        <v>92.442599999999999</v>
      </c>
      <c r="C14" s="500">
        <v>87.21</v>
      </c>
      <c r="E14" s="790" t="s">
        <v>146</v>
      </c>
      <c r="F14" s="779">
        <v>1203.0999999999999</v>
      </c>
      <c r="G14" s="500">
        <v>1135</v>
      </c>
      <c r="H14" s="321"/>
      <c r="I14" s="310" t="s">
        <v>862</v>
      </c>
      <c r="J14" s="779">
        <v>430.36</v>
      </c>
      <c r="K14" s="500">
        <v>406</v>
      </c>
      <c r="N14" s="694"/>
      <c r="O14" s="500"/>
      <c r="S14" s="311"/>
      <c r="U14" s="322" t="s">
        <v>348</v>
      </c>
      <c r="V14" s="794"/>
      <c r="W14" s="500"/>
      <c r="Y14" s="310" t="s">
        <v>863</v>
      </c>
      <c r="Z14" s="323" t="s">
        <v>864</v>
      </c>
      <c r="AA14" s="794">
        <v>6840.4980000000014</v>
      </c>
      <c r="AB14" s="500">
        <v>6453.3</v>
      </c>
      <c r="AC14" s="312">
        <v>4</v>
      </c>
      <c r="AD14" s="323" t="s">
        <v>772</v>
      </c>
      <c r="AE14" s="312">
        <v>10</v>
      </c>
      <c r="AF14" s="313">
        <f t="shared" si="1"/>
        <v>4</v>
      </c>
      <c r="AI14" s="314"/>
      <c r="AJ14" s="918"/>
      <c r="AK14" s="325" t="s">
        <v>865</v>
      </c>
      <c r="AL14" s="407" t="s">
        <v>866</v>
      </c>
      <c r="AM14" s="794">
        <v>267.12</v>
      </c>
      <c r="AN14" s="504">
        <v>252</v>
      </c>
      <c r="AO14" s="919"/>
      <c r="AP14" s="322" t="s">
        <v>867</v>
      </c>
      <c r="AQ14" s="311">
        <f>AR14+(POLLUSTOP!$G$43*0.94)</f>
        <v>2284.34</v>
      </c>
      <c r="AR14" s="801">
        <v>2002.34</v>
      </c>
      <c r="AS14" s="498">
        <v>1889</v>
      </c>
      <c r="AU14" s="325" t="s">
        <v>868</v>
      </c>
      <c r="AV14" s="327">
        <v>12</v>
      </c>
      <c r="AW14" s="407" t="s">
        <v>869</v>
      </c>
      <c r="AX14" s="795">
        <v>877.40440000000001</v>
      </c>
      <c r="AY14" s="505">
        <v>827.74</v>
      </c>
      <c r="BC14" s="128"/>
      <c r="BD14" s="128"/>
      <c r="BE14" s="128"/>
    </row>
    <row r="15" spans="1:69" ht="14.5" customHeight="1" x14ac:dyDescent="0.2">
      <c r="A15" s="310" t="s">
        <v>870</v>
      </c>
      <c r="B15" s="779">
        <v>123.702</v>
      </c>
      <c r="C15" s="500">
        <v>116.7</v>
      </c>
      <c r="E15" s="790" t="s">
        <v>147</v>
      </c>
      <c r="F15" s="779">
        <v>344.5</v>
      </c>
      <c r="G15" s="500">
        <v>325</v>
      </c>
      <c r="H15" s="321"/>
      <c r="I15" s="310" t="s">
        <v>871</v>
      </c>
      <c r="J15" s="779">
        <v>327.54000000000002</v>
      </c>
      <c r="K15" s="500">
        <v>309</v>
      </c>
      <c r="M15" s="310" t="s">
        <v>872</v>
      </c>
      <c r="N15" s="311">
        <v>0</v>
      </c>
      <c r="Q15" s="332" t="s">
        <v>873</v>
      </c>
      <c r="R15" s="332">
        <v>0</v>
      </c>
      <c r="S15" s="332">
        <v>0</v>
      </c>
      <c r="U15" s="322" t="s">
        <v>825</v>
      </c>
      <c r="V15" s="794"/>
      <c r="W15" s="500"/>
      <c r="Y15" s="310" t="s">
        <v>874</v>
      </c>
      <c r="Z15" s="323" t="s">
        <v>875</v>
      </c>
      <c r="AA15" s="794">
        <v>7491.0941999999995</v>
      </c>
      <c r="AB15" s="500">
        <v>7067.07</v>
      </c>
      <c r="AC15" s="312">
        <v>4</v>
      </c>
      <c r="AD15" s="323" t="s">
        <v>772</v>
      </c>
      <c r="AE15" s="312">
        <v>11</v>
      </c>
      <c r="AF15" s="313">
        <f t="shared" si="1"/>
        <v>4.4000000000000004</v>
      </c>
      <c r="AI15" s="314"/>
      <c r="AJ15" s="918"/>
      <c r="AK15" s="326"/>
      <c r="AL15" s="322" t="s">
        <v>823</v>
      </c>
      <c r="AM15" s="794">
        <v>119.78</v>
      </c>
      <c r="AN15" s="504">
        <v>113</v>
      </c>
      <c r="AO15" s="919"/>
      <c r="AP15" s="322" t="s">
        <v>876</v>
      </c>
      <c r="AQ15" s="311">
        <f>AR15+(POLLUSTOP!$G$43*0.94)</f>
        <v>2579.02</v>
      </c>
      <c r="AR15" s="801">
        <v>2297.02</v>
      </c>
      <c r="AS15" s="498">
        <v>2167</v>
      </c>
      <c r="AU15" s="325" t="s">
        <v>868</v>
      </c>
      <c r="AV15" s="327">
        <v>13</v>
      </c>
      <c r="AW15" s="407" t="s">
        <v>877</v>
      </c>
      <c r="AX15" s="795">
        <v>1061.6217999999999</v>
      </c>
      <c r="AY15" s="505">
        <v>1001.53</v>
      </c>
      <c r="BB15" s="713"/>
      <c r="BC15" s="713"/>
      <c r="BD15" s="711"/>
      <c r="BE15" s="128"/>
      <c r="BF15" s="137"/>
      <c r="BG15" s="137"/>
      <c r="BH15" s="137"/>
      <c r="BI15" s="137"/>
      <c r="BJ15" s="711"/>
      <c r="BK15" s="129"/>
      <c r="BL15" s="137"/>
      <c r="BM15" s="137"/>
      <c r="BN15" s="137"/>
      <c r="BO15" s="137"/>
      <c r="BP15" s="711"/>
    </row>
    <row r="16" spans="1:69" ht="14.5" customHeight="1" x14ac:dyDescent="0.2">
      <c r="A16" s="322" t="s">
        <v>878</v>
      </c>
      <c r="B16" s="779">
        <v>0</v>
      </c>
      <c r="C16" s="500">
        <v>0</v>
      </c>
      <c r="E16" s="790" t="s">
        <v>148</v>
      </c>
      <c r="F16" s="779">
        <v>376.3</v>
      </c>
      <c r="G16" s="500">
        <v>355</v>
      </c>
      <c r="H16" s="321"/>
      <c r="I16" s="310" t="s">
        <v>879</v>
      </c>
      <c r="J16" s="779">
        <v>604.20000000000005</v>
      </c>
      <c r="K16" s="500">
        <v>570</v>
      </c>
      <c r="M16" s="310" t="s">
        <v>880</v>
      </c>
      <c r="N16" s="311">
        <v>0</v>
      </c>
      <c r="Q16" s="310" t="s">
        <v>881</v>
      </c>
      <c r="R16" s="779">
        <v>1023.96</v>
      </c>
      <c r="S16" s="500">
        <v>966</v>
      </c>
      <c r="T16" s="310">
        <f>R16*1.06</f>
        <v>1085.3976</v>
      </c>
      <c r="U16" s="322" t="s">
        <v>350</v>
      </c>
      <c r="V16" s="794"/>
      <c r="W16" s="500"/>
      <c r="Y16" s="310" t="s">
        <v>882</v>
      </c>
      <c r="Z16" s="323" t="s">
        <v>883</v>
      </c>
      <c r="AA16" s="794">
        <v>8141.6904000000004</v>
      </c>
      <c r="AB16" s="500">
        <v>7680.84</v>
      </c>
      <c r="AC16" s="312">
        <v>4</v>
      </c>
      <c r="AD16" s="323" t="s">
        <v>772</v>
      </c>
      <c r="AE16" s="312">
        <v>12</v>
      </c>
      <c r="AF16" s="313">
        <f t="shared" si="1"/>
        <v>4.8000000000000007</v>
      </c>
      <c r="AG16" s="314"/>
      <c r="AH16" s="314"/>
      <c r="AI16" s="314"/>
      <c r="AJ16" s="918"/>
      <c r="AK16" s="326" t="s">
        <v>540</v>
      </c>
      <c r="AL16" s="325" t="s">
        <v>541</v>
      </c>
      <c r="AM16" s="794">
        <v>5.4484000000000004</v>
      </c>
      <c r="AN16" s="504">
        <v>5.14</v>
      </c>
      <c r="AO16" s="919"/>
      <c r="AP16" s="322" t="s">
        <v>884</v>
      </c>
      <c r="AQ16" s="311">
        <f>AR16+(POLLUSTOP!$G$44*0.94)</f>
        <v>2697.36</v>
      </c>
      <c r="AR16" s="801">
        <v>2603.36</v>
      </c>
      <c r="AS16" s="498">
        <v>2456</v>
      </c>
      <c r="AU16" s="325" t="s">
        <v>868</v>
      </c>
      <c r="AV16" s="327">
        <v>13</v>
      </c>
      <c r="AW16" s="407" t="s">
        <v>885</v>
      </c>
      <c r="AX16" s="795">
        <v>1326.2084</v>
      </c>
      <c r="AY16" s="505">
        <v>1251.1400000000001</v>
      </c>
      <c r="BB16" s="713"/>
      <c r="BC16" s="713"/>
      <c r="BD16" s="711"/>
      <c r="BE16" s="128"/>
      <c r="BF16" s="137"/>
      <c r="BG16" s="137"/>
      <c r="BH16" s="137"/>
      <c r="BI16" s="137"/>
      <c r="BJ16" s="711"/>
      <c r="BK16" s="129"/>
      <c r="BL16" s="137"/>
      <c r="BM16" s="137"/>
      <c r="BN16" s="137"/>
      <c r="BO16" s="137"/>
      <c r="BP16" s="711"/>
    </row>
    <row r="17" spans="1:68" ht="14.5" customHeight="1" x14ac:dyDescent="0.2">
      <c r="A17" s="322"/>
      <c r="B17" s="779"/>
      <c r="C17" s="500"/>
      <c r="E17" s="790"/>
      <c r="F17" s="779"/>
      <c r="G17" s="500"/>
      <c r="H17" s="321"/>
      <c r="J17" s="776"/>
      <c r="K17" s="500"/>
      <c r="R17" s="779"/>
      <c r="S17" s="500"/>
      <c r="U17" s="322"/>
      <c r="V17" s="794"/>
      <c r="W17" s="500"/>
      <c r="Z17" s="323"/>
      <c r="AA17" s="794"/>
      <c r="AB17" s="500"/>
      <c r="AD17" s="323"/>
      <c r="AG17" s="314"/>
      <c r="AH17" s="314"/>
      <c r="AI17" s="314"/>
      <c r="AJ17" s="918"/>
      <c r="AK17" s="326"/>
      <c r="AL17" s="325"/>
      <c r="AM17" s="794">
        <v>0</v>
      </c>
      <c r="AN17" s="504"/>
      <c r="AO17" s="919"/>
      <c r="AP17" s="322"/>
      <c r="AR17" s="801"/>
      <c r="AS17" s="801"/>
      <c r="AU17" s="407" t="s">
        <v>551</v>
      </c>
      <c r="AV17" s="327">
        <v>1</v>
      </c>
      <c r="AW17" s="407" t="s">
        <v>713</v>
      </c>
      <c r="AX17" s="795">
        <v>53</v>
      </c>
      <c r="AY17" s="505">
        <v>50</v>
      </c>
      <c r="BB17" s="713"/>
      <c r="BC17" s="713"/>
      <c r="BD17" s="711"/>
      <c r="BE17" s="128"/>
      <c r="BF17" s="137"/>
      <c r="BG17" s="137"/>
      <c r="BH17" s="137"/>
      <c r="BI17" s="137"/>
      <c r="BJ17" s="711"/>
      <c r="BK17" s="129"/>
      <c r="BL17" s="137"/>
      <c r="BM17" s="137"/>
      <c r="BN17" s="137"/>
      <c r="BO17" s="137"/>
      <c r="BP17" s="711"/>
    </row>
    <row r="18" spans="1:68" ht="14.5" customHeight="1" x14ac:dyDescent="0.2">
      <c r="E18" s="790" t="s">
        <v>149</v>
      </c>
      <c r="F18" s="779">
        <v>858.6</v>
      </c>
      <c r="G18" s="500">
        <v>810</v>
      </c>
      <c r="H18" s="321"/>
      <c r="M18" s="310" t="s">
        <v>886</v>
      </c>
      <c r="N18" s="311">
        <v>0</v>
      </c>
      <c r="Q18" s="310" t="s">
        <v>887</v>
      </c>
      <c r="R18" s="779">
        <v>1214.76</v>
      </c>
      <c r="S18" s="500">
        <v>1146</v>
      </c>
      <c r="T18" s="310">
        <f>R18*1.06</f>
        <v>1287.6456000000001</v>
      </c>
      <c r="U18" s="322" t="s">
        <v>354</v>
      </c>
      <c r="V18" s="794">
        <v>4267.32</v>
      </c>
      <c r="W18" s="500">
        <v>4162.8500000000004</v>
      </c>
      <c r="Y18" s="310" t="s">
        <v>888</v>
      </c>
      <c r="Z18" s="323" t="s">
        <v>889</v>
      </c>
      <c r="AA18" s="794">
        <v>1022.6562</v>
      </c>
      <c r="AB18" s="500">
        <v>964.77</v>
      </c>
      <c r="AC18" s="312">
        <v>4</v>
      </c>
      <c r="AD18" s="323" t="s">
        <v>774</v>
      </c>
      <c r="AE18" s="312">
        <v>1</v>
      </c>
      <c r="AF18" s="313">
        <f>IF(AD18="S",AC18*#REF!*AE18,AC18*$AD$3*AE18)</f>
        <v>0.8</v>
      </c>
      <c r="AG18" s="314"/>
      <c r="AH18" s="319"/>
      <c r="AJ18" s="918"/>
      <c r="AK18" s="326" t="s">
        <v>540</v>
      </c>
      <c r="AL18" s="325" t="s">
        <v>542</v>
      </c>
      <c r="AM18" s="794">
        <v>27.220800000000001</v>
      </c>
      <c r="AN18" s="504">
        <v>25.68</v>
      </c>
      <c r="AO18" s="919"/>
      <c r="AP18" s="322"/>
      <c r="AU18" s="325" t="s">
        <v>890</v>
      </c>
      <c r="AV18" s="327">
        <v>12</v>
      </c>
      <c r="AW18" s="325" t="s">
        <v>891</v>
      </c>
      <c r="AX18" s="795">
        <v>476.95760000000001</v>
      </c>
      <c r="AY18" s="505">
        <v>449.96</v>
      </c>
      <c r="BB18" s="713"/>
      <c r="BC18" s="713"/>
      <c r="BD18" s="711"/>
      <c r="BE18" s="128"/>
      <c r="BF18" s="137"/>
      <c r="BG18" s="137"/>
      <c r="BH18" s="137"/>
      <c r="BI18" s="137"/>
      <c r="BJ18" s="711"/>
      <c r="BK18" s="129"/>
      <c r="BL18" s="137"/>
      <c r="BM18" s="137"/>
      <c r="BN18" s="137"/>
      <c r="BO18" s="137"/>
      <c r="BP18" s="711"/>
    </row>
    <row r="19" spans="1:68" ht="14.5" customHeight="1" x14ac:dyDescent="0.2">
      <c r="A19" s="334" t="s">
        <v>72</v>
      </c>
      <c r="B19" s="334"/>
      <c r="C19" s="334"/>
      <c r="E19" s="790" t="s">
        <v>150</v>
      </c>
      <c r="F19" s="779">
        <v>633.88</v>
      </c>
      <c r="G19" s="500">
        <v>598</v>
      </c>
      <c r="H19" s="321"/>
      <c r="I19" s="332" t="s">
        <v>475</v>
      </c>
      <c r="J19" s="332"/>
      <c r="K19" s="332"/>
      <c r="M19" s="322" t="s">
        <v>892</v>
      </c>
      <c r="N19" s="311">
        <v>0</v>
      </c>
      <c r="Q19" s="310" t="s">
        <v>893</v>
      </c>
      <c r="R19" s="779">
        <v>1444.78</v>
      </c>
      <c r="S19" s="500">
        <v>1363</v>
      </c>
      <c r="T19" s="310">
        <f>R19*1.06</f>
        <v>1531.4668000000001</v>
      </c>
      <c r="U19" s="322" t="s">
        <v>355</v>
      </c>
      <c r="V19" s="794">
        <v>0</v>
      </c>
      <c r="W19" s="500">
        <v>0</v>
      </c>
      <c r="Y19" s="310" t="s">
        <v>894</v>
      </c>
      <c r="Z19" s="323" t="s">
        <v>895</v>
      </c>
      <c r="AA19" s="794">
        <v>1710.7764</v>
      </c>
      <c r="AB19" s="500">
        <v>1613.94</v>
      </c>
      <c r="AC19" s="312">
        <v>4</v>
      </c>
      <c r="AD19" s="323" t="s">
        <v>774</v>
      </c>
      <c r="AE19" s="312">
        <v>2</v>
      </c>
      <c r="AF19" s="313">
        <f>IF(AD19="S",AC19*#REF!*AE19,AC19*$AD$3*AE19)</f>
        <v>1.6</v>
      </c>
      <c r="AJ19" s="918"/>
      <c r="AK19" s="325"/>
      <c r="AL19" s="325" t="s">
        <v>543</v>
      </c>
      <c r="AM19" s="794">
        <v>0</v>
      </c>
      <c r="AN19" s="504">
        <v>0</v>
      </c>
      <c r="AO19" s="919"/>
      <c r="AP19" s="340" t="s">
        <v>644</v>
      </c>
      <c r="AQ19" s="334"/>
      <c r="AR19" s="334"/>
      <c r="AS19" s="334"/>
      <c r="AU19" s="325" t="s">
        <v>890</v>
      </c>
      <c r="AV19" s="327">
        <v>14</v>
      </c>
      <c r="AW19" s="325" t="s">
        <v>896</v>
      </c>
      <c r="AX19" s="795">
        <v>633.62560000000008</v>
      </c>
      <c r="AY19" s="505">
        <v>597.76</v>
      </c>
      <c r="BB19" s="713"/>
      <c r="BC19" s="713"/>
      <c r="BD19" s="711"/>
      <c r="BE19" s="128"/>
      <c r="BF19" s="137"/>
      <c r="BG19" s="137"/>
      <c r="BH19" s="137"/>
      <c r="BI19" s="137"/>
      <c r="BJ19" s="711"/>
      <c r="BK19" s="129"/>
      <c r="BL19" s="137"/>
      <c r="BM19" s="137"/>
      <c r="BN19" s="137"/>
      <c r="BO19" s="137"/>
      <c r="BP19" s="711"/>
    </row>
    <row r="20" spans="1:68" ht="14.5" customHeight="1" x14ac:dyDescent="0.2">
      <c r="A20" s="322" t="s">
        <v>897</v>
      </c>
      <c r="B20" s="779">
        <v>133.56</v>
      </c>
      <c r="C20" s="500">
        <v>126</v>
      </c>
      <c r="E20" s="790" t="s">
        <v>151</v>
      </c>
      <c r="F20" s="779">
        <v>1203.0999999999999</v>
      </c>
      <c r="G20" s="500">
        <v>1135</v>
      </c>
      <c r="H20" s="321"/>
      <c r="I20" s="322" t="s">
        <v>898</v>
      </c>
      <c r="J20" s="779">
        <v>354.34740000000011</v>
      </c>
      <c r="K20" s="500">
        <v>334.29</v>
      </c>
      <c r="M20" s="322" t="s">
        <v>899</v>
      </c>
      <c r="N20" s="311">
        <v>0</v>
      </c>
      <c r="Q20" s="310" t="s">
        <v>900</v>
      </c>
      <c r="R20" s="779">
        <v>1585.76</v>
      </c>
      <c r="S20" s="500">
        <v>1496</v>
      </c>
      <c r="T20" s="310">
        <f>R20*1.06</f>
        <v>1680.9056</v>
      </c>
      <c r="U20" s="322" t="s">
        <v>356</v>
      </c>
      <c r="V20" s="794">
        <v>4267.32</v>
      </c>
      <c r="W20" s="500">
        <v>4162.8500000000004</v>
      </c>
      <c r="Y20" s="310" t="s">
        <v>901</v>
      </c>
      <c r="Z20" s="323" t="s">
        <v>902</v>
      </c>
      <c r="AA20" s="794">
        <v>2398.8966</v>
      </c>
      <c r="AB20" s="500">
        <v>2263.11</v>
      </c>
      <c r="AC20" s="312">
        <v>4</v>
      </c>
      <c r="AD20" s="323" t="s">
        <v>774</v>
      </c>
      <c r="AE20" s="312">
        <v>3</v>
      </c>
      <c r="AF20" s="313">
        <f>IF(AD20="S",AC20*#REF!*AE20,AC20*$AD$3*AE20)</f>
        <v>2.4000000000000004</v>
      </c>
      <c r="AJ20" s="918"/>
      <c r="AK20" s="407" t="s">
        <v>903</v>
      </c>
      <c r="AL20" s="407" t="s">
        <v>904</v>
      </c>
      <c r="AM20" s="794">
        <v>262.03199999999998</v>
      </c>
      <c r="AN20" s="504">
        <v>247.2</v>
      </c>
      <c r="AO20" s="919"/>
      <c r="AP20" s="322" t="s">
        <v>374</v>
      </c>
      <c r="AQ20" s="311">
        <v>0</v>
      </c>
      <c r="AR20" s="719"/>
      <c r="AS20" s="719"/>
      <c r="AU20" s="325" t="s">
        <v>890</v>
      </c>
      <c r="AV20" s="327">
        <v>16</v>
      </c>
      <c r="AW20" s="325" t="s">
        <v>905</v>
      </c>
      <c r="AX20" s="795">
        <v>734.64359999999999</v>
      </c>
      <c r="AY20" s="505">
        <v>693.06</v>
      </c>
      <c r="BB20" s="713"/>
      <c r="BC20" s="713"/>
      <c r="BD20" s="711"/>
      <c r="BE20" s="128"/>
      <c r="BF20" s="137"/>
      <c r="BG20" s="137"/>
      <c r="BH20" s="137"/>
      <c r="BI20" s="137"/>
      <c r="BJ20" s="711"/>
      <c r="BK20" s="129"/>
      <c r="BL20" s="137"/>
      <c r="BM20" s="137"/>
      <c r="BN20" s="137"/>
      <c r="BO20" s="137"/>
      <c r="BP20" s="711"/>
    </row>
    <row r="21" spans="1:68" ht="14.5" customHeight="1" x14ac:dyDescent="0.2">
      <c r="A21" s="322"/>
      <c r="E21" s="790" t="s">
        <v>152</v>
      </c>
      <c r="F21" s="779">
        <v>344.5</v>
      </c>
      <c r="G21" s="500">
        <v>325</v>
      </c>
      <c r="H21" s="321"/>
      <c r="I21" s="322" t="s">
        <v>906</v>
      </c>
      <c r="J21" s="779">
        <v>395.35879999999997</v>
      </c>
      <c r="K21" s="500">
        <v>372.98</v>
      </c>
      <c r="M21" s="322" t="s">
        <v>907</v>
      </c>
      <c r="N21" s="311">
        <v>0</v>
      </c>
      <c r="S21" s="311"/>
      <c r="U21" s="322" t="s">
        <v>348</v>
      </c>
      <c r="V21" s="794"/>
      <c r="W21" s="500"/>
      <c r="Y21" s="310" t="s">
        <v>908</v>
      </c>
      <c r="Z21" s="323" t="s">
        <v>909</v>
      </c>
      <c r="AA21" s="794">
        <v>3087.0167999999999</v>
      </c>
      <c r="AB21" s="500">
        <v>2912.28</v>
      </c>
      <c r="AC21" s="312">
        <v>4</v>
      </c>
      <c r="AD21" s="323" t="s">
        <v>774</v>
      </c>
      <c r="AE21" s="312">
        <v>4</v>
      </c>
      <c r="AF21" s="313">
        <f>IF(AD21="S",AC21*#REF!*AE21,AC21*$AD$3*AE21)</f>
        <v>3.2</v>
      </c>
      <c r="AJ21" s="918"/>
      <c r="AK21" s="325"/>
      <c r="AL21" s="325" t="s">
        <v>546</v>
      </c>
      <c r="AM21" s="794">
        <v>0</v>
      </c>
      <c r="AN21" s="504">
        <v>0</v>
      </c>
      <c r="AO21" s="919"/>
      <c r="AP21" s="322" t="s">
        <v>910</v>
      </c>
      <c r="AQ21" s="311">
        <f>(POLLUSTOP!$G$39*1.15)+AR21</f>
        <v>4459.09</v>
      </c>
      <c r="AR21" s="801">
        <v>2675.44</v>
      </c>
      <c r="AS21" s="498">
        <v>2524</v>
      </c>
      <c r="AU21" s="325" t="s">
        <v>911</v>
      </c>
      <c r="AV21" s="327">
        <v>3</v>
      </c>
      <c r="AW21" s="325"/>
      <c r="AX21" s="795">
        <v>188.36199999999999</v>
      </c>
      <c r="AY21" s="505">
        <v>177.7</v>
      </c>
      <c r="BB21" s="713"/>
      <c r="BC21" s="713"/>
      <c r="BD21" s="711"/>
      <c r="BE21" s="128"/>
      <c r="BF21" s="137"/>
      <c r="BG21" s="137"/>
      <c r="BH21" s="137"/>
      <c r="BI21" s="137"/>
      <c r="BJ21" s="711"/>
      <c r="BK21" s="129"/>
      <c r="BL21" s="137"/>
      <c r="BM21" s="137"/>
      <c r="BN21" s="137"/>
      <c r="BO21" s="137"/>
      <c r="BP21" s="711"/>
    </row>
    <row r="22" spans="1:68" ht="14.5" customHeight="1" x14ac:dyDescent="0.2">
      <c r="A22" s="322"/>
      <c r="E22" s="790" t="s">
        <v>153</v>
      </c>
      <c r="F22" s="779">
        <v>333.9</v>
      </c>
      <c r="G22" s="500">
        <v>315</v>
      </c>
      <c r="H22" s="321"/>
      <c r="I22" s="322" t="s">
        <v>912</v>
      </c>
      <c r="J22" s="779">
        <v>502.72620000000001</v>
      </c>
      <c r="K22" s="500">
        <v>474.27</v>
      </c>
      <c r="M22" s="310" t="s">
        <v>913</v>
      </c>
      <c r="N22" s="311">
        <v>0</v>
      </c>
      <c r="Q22" s="332" t="s">
        <v>914</v>
      </c>
      <c r="R22" s="332">
        <v>0</v>
      </c>
      <c r="S22" s="332">
        <v>0</v>
      </c>
      <c r="U22" s="322" t="s">
        <v>825</v>
      </c>
      <c r="V22" s="794"/>
      <c r="W22" s="500"/>
      <c r="Y22" s="310" t="s">
        <v>915</v>
      </c>
      <c r="Z22" s="323" t="s">
        <v>916</v>
      </c>
      <c r="AA22" s="794">
        <v>3775.1370000000002</v>
      </c>
      <c r="AB22" s="500">
        <v>3561.45</v>
      </c>
      <c r="AC22" s="312">
        <v>4</v>
      </c>
      <c r="AD22" s="323" t="s">
        <v>774</v>
      </c>
      <c r="AE22" s="312">
        <v>5</v>
      </c>
      <c r="AF22" s="313">
        <f>IF(AD22="S",AC22*#REF!*AE22,AC22*$AD$3*AE22)</f>
        <v>4</v>
      </c>
      <c r="AJ22" s="918"/>
      <c r="AL22" s="329" t="s">
        <v>548</v>
      </c>
      <c r="AM22" s="794">
        <v>0</v>
      </c>
      <c r="AN22" s="504">
        <v>0</v>
      </c>
      <c r="AO22" s="919"/>
      <c r="AP22" s="322" t="s">
        <v>917</v>
      </c>
      <c r="AQ22" s="311">
        <f>AR22+(POLLUSTOP!$G$40*1.15)</f>
        <v>3920.3199999999997</v>
      </c>
      <c r="AR22" s="801">
        <v>3251.02</v>
      </c>
      <c r="AS22" s="498">
        <v>3067</v>
      </c>
      <c r="AU22" s="325" t="s">
        <v>918</v>
      </c>
      <c r="AV22" s="327">
        <v>6</v>
      </c>
      <c r="AW22" s="325" t="s">
        <v>919</v>
      </c>
      <c r="AX22" s="795">
        <v>700</v>
      </c>
      <c r="AY22" s="505">
        <v>335.99</v>
      </c>
      <c r="BB22" s="713"/>
      <c r="BC22" s="713"/>
      <c r="BD22" s="711"/>
      <c r="BE22" s="128"/>
      <c r="BF22" s="130"/>
      <c r="BG22" s="129"/>
      <c r="BH22" s="129"/>
      <c r="BI22" s="129"/>
      <c r="BJ22" s="129"/>
      <c r="BK22" s="129"/>
      <c r="BL22" s="712"/>
      <c r="BM22" s="712"/>
      <c r="BN22" s="712"/>
      <c r="BO22" s="712"/>
      <c r="BP22" s="715"/>
    </row>
    <row r="23" spans="1:68" ht="14.5" customHeight="1" x14ac:dyDescent="0.2">
      <c r="E23" s="790" t="s">
        <v>154</v>
      </c>
      <c r="F23" s="779">
        <v>588.30000000000007</v>
      </c>
      <c r="G23" s="500">
        <v>555</v>
      </c>
      <c r="H23" s="321"/>
      <c r="I23" s="322" t="s">
        <v>920</v>
      </c>
      <c r="J23" s="779">
        <v>572.67560000000003</v>
      </c>
      <c r="K23" s="500">
        <v>540.26</v>
      </c>
      <c r="M23" s="310" t="s">
        <v>921</v>
      </c>
      <c r="N23" s="311">
        <v>0</v>
      </c>
      <c r="Q23" s="322" t="s">
        <v>922</v>
      </c>
      <c r="R23" s="779">
        <v>174.68799999999999</v>
      </c>
      <c r="S23" s="500">
        <v>164.8</v>
      </c>
      <c r="T23" s="310">
        <f t="shared" ref="T23:T33" si="3">R23*1.06</f>
        <v>185.16927999999999</v>
      </c>
      <c r="U23" s="322" t="s">
        <v>350</v>
      </c>
      <c r="V23" s="794"/>
      <c r="W23" s="500"/>
      <c r="Y23" s="310" t="s">
        <v>923</v>
      </c>
      <c r="Z23" s="323" t="s">
        <v>924</v>
      </c>
      <c r="AA23" s="794">
        <v>4463.2572</v>
      </c>
      <c r="AB23" s="500">
        <v>4210.62</v>
      </c>
      <c r="AC23" s="312">
        <v>4</v>
      </c>
      <c r="AD23" s="323" t="s">
        <v>774</v>
      </c>
      <c r="AE23" s="312">
        <v>6</v>
      </c>
      <c r="AF23" s="313">
        <f>IF(AD23="S",AC23*#REF!*AE23,AC23*$AD$3*AE23)</f>
        <v>4.8000000000000007</v>
      </c>
      <c r="AJ23" s="918"/>
      <c r="AK23" s="311" t="s">
        <v>549</v>
      </c>
      <c r="AL23" s="325" t="s">
        <v>550</v>
      </c>
      <c r="AM23" s="794">
        <v>0</v>
      </c>
      <c r="AN23" s="504">
        <v>0</v>
      </c>
      <c r="AO23" s="919"/>
      <c r="AP23" s="322" t="s">
        <v>925</v>
      </c>
      <c r="AQ23" s="311">
        <f>AR23+(POLLUSTOP!$G$41*1.15)</f>
        <v>4643.8600000000006</v>
      </c>
      <c r="AR23" s="801">
        <v>4643.8600000000006</v>
      </c>
      <c r="AS23" s="498">
        <v>4381</v>
      </c>
      <c r="AU23" s="325" t="s">
        <v>926</v>
      </c>
      <c r="AV23" s="327">
        <v>3</v>
      </c>
      <c r="AW23" s="325" t="s">
        <v>919</v>
      </c>
      <c r="AX23" s="795">
        <v>380</v>
      </c>
      <c r="AY23" s="505">
        <v>178.83</v>
      </c>
      <c r="BB23" s="713"/>
      <c r="BC23" s="713"/>
      <c r="BD23" s="711"/>
      <c r="BE23" s="128"/>
      <c r="BF23" s="130"/>
      <c r="BG23" s="129"/>
      <c r="BH23" s="129"/>
      <c r="BI23" s="129"/>
      <c r="BJ23" s="129"/>
      <c r="BK23" s="129"/>
      <c r="BL23" s="712"/>
      <c r="BM23" s="712"/>
      <c r="BN23" s="712"/>
      <c r="BO23" s="712"/>
      <c r="BP23" s="715"/>
    </row>
    <row r="24" spans="1:68" ht="14.5" customHeight="1" x14ac:dyDescent="0.2">
      <c r="E24" s="790" t="s">
        <v>155</v>
      </c>
      <c r="F24" s="779">
        <v>413.4</v>
      </c>
      <c r="G24" s="500">
        <v>390</v>
      </c>
      <c r="H24" s="321"/>
      <c r="Q24" s="322" t="s">
        <v>927</v>
      </c>
      <c r="R24" s="779">
        <v>19.111799999999999</v>
      </c>
      <c r="S24" s="500">
        <v>18.03</v>
      </c>
      <c r="T24" s="310">
        <f t="shared" si="3"/>
        <v>20.258507999999999</v>
      </c>
      <c r="U24" s="322" t="s">
        <v>357</v>
      </c>
      <c r="V24" s="794">
        <v>5813.35</v>
      </c>
      <c r="W24" s="500">
        <v>5669.54</v>
      </c>
      <c r="Y24" s="310" t="s">
        <v>928</v>
      </c>
      <c r="Z24" s="323" t="s">
        <v>929</v>
      </c>
      <c r="AA24" s="794">
        <v>5151.3774000000003</v>
      </c>
      <c r="AB24" s="500">
        <v>4859.79</v>
      </c>
      <c r="AC24" s="312">
        <v>4</v>
      </c>
      <c r="AD24" s="323" t="s">
        <v>774</v>
      </c>
      <c r="AE24" s="312">
        <v>7</v>
      </c>
      <c r="AF24" s="313">
        <f>IF(AD24="S",AC24*#REF!*AE24,AC24*$AD$3*AE24)</f>
        <v>5.6000000000000005</v>
      </c>
      <c r="AJ24" s="918"/>
      <c r="AK24" s="322" t="s">
        <v>930</v>
      </c>
      <c r="AL24" s="407" t="s">
        <v>552</v>
      </c>
      <c r="AM24" s="794">
        <v>5</v>
      </c>
      <c r="AN24" s="504">
        <v>5</v>
      </c>
      <c r="AO24" s="919"/>
      <c r="AP24" s="322" t="s">
        <v>931</v>
      </c>
      <c r="AQ24" s="311">
        <f>AR24+(POLLUSTOP!$G$41*1.15)</f>
        <v>5477.02</v>
      </c>
      <c r="AR24" s="801">
        <v>5477.02</v>
      </c>
      <c r="AS24" s="498">
        <v>5167</v>
      </c>
      <c r="AU24" s="325" t="s">
        <v>932</v>
      </c>
      <c r="AV24" s="327">
        <v>3</v>
      </c>
      <c r="AW24" s="325"/>
      <c r="AX24" s="795">
        <v>358</v>
      </c>
      <c r="AY24" s="505">
        <v>168.71</v>
      </c>
      <c r="BB24" s="713"/>
      <c r="BC24" s="713"/>
      <c r="BD24" s="711"/>
      <c r="BE24" s="128"/>
      <c r="BF24" s="130"/>
      <c r="BG24" s="129"/>
      <c r="BH24" s="129"/>
      <c r="BI24" s="129"/>
      <c r="BJ24" s="129"/>
      <c r="BK24" s="129"/>
      <c r="BL24" s="130"/>
      <c r="BM24" s="129"/>
      <c r="BN24" s="129"/>
      <c r="BO24" s="129"/>
      <c r="BP24" s="129"/>
    </row>
    <row r="25" spans="1:68" ht="14.5" customHeight="1" x14ac:dyDescent="0.2">
      <c r="A25" s="334" t="s">
        <v>933</v>
      </c>
      <c r="B25" s="334"/>
      <c r="C25" s="334"/>
      <c r="E25" s="790" t="s">
        <v>156</v>
      </c>
      <c r="F25" s="779">
        <v>1203.0999999999999</v>
      </c>
      <c r="G25" s="500">
        <v>1135</v>
      </c>
      <c r="H25" s="321"/>
      <c r="I25" s="332" t="s">
        <v>491</v>
      </c>
      <c r="J25" s="332"/>
      <c r="K25" s="332"/>
      <c r="M25" s="332" t="s">
        <v>65</v>
      </c>
      <c r="N25" s="332">
        <v>0</v>
      </c>
      <c r="O25" s="332"/>
      <c r="Q25" s="322" t="s">
        <v>934</v>
      </c>
      <c r="R25" s="779">
        <v>1200.98</v>
      </c>
      <c r="S25" s="500">
        <v>1133</v>
      </c>
      <c r="T25" s="310">
        <f t="shared" si="3"/>
        <v>1273.0388</v>
      </c>
      <c r="U25" s="322" t="s">
        <v>358</v>
      </c>
      <c r="V25" s="794">
        <v>0</v>
      </c>
      <c r="W25" s="500">
        <v>0</v>
      </c>
      <c r="Y25" s="310" t="s">
        <v>935</v>
      </c>
      <c r="Z25" s="323" t="s">
        <v>936</v>
      </c>
      <c r="AA25" s="794">
        <v>5839.4976000000006</v>
      </c>
      <c r="AB25" s="500">
        <v>5508.96</v>
      </c>
      <c r="AC25" s="312">
        <v>4</v>
      </c>
      <c r="AD25" s="323" t="s">
        <v>774</v>
      </c>
      <c r="AE25" s="312">
        <v>8</v>
      </c>
      <c r="AF25" s="313">
        <f>IF(AD25="S",AC25*#REF!*AE25,AC25*$AD$3*AE25)</f>
        <v>6.4</v>
      </c>
      <c r="AJ25" s="918"/>
      <c r="AL25" s="325" t="s">
        <v>553</v>
      </c>
      <c r="AM25" s="794">
        <v>0</v>
      </c>
      <c r="AN25" s="504">
        <v>0</v>
      </c>
      <c r="AO25" s="919"/>
      <c r="AP25" s="322" t="s">
        <v>937</v>
      </c>
      <c r="AQ25" s="311">
        <f>AR25+(POLLUSTOP!$G$42*1.15)</f>
        <v>6952.54</v>
      </c>
      <c r="AR25" s="801">
        <v>6952.54</v>
      </c>
      <c r="AS25" s="498">
        <v>6559</v>
      </c>
      <c r="AU25" s="340" t="s">
        <v>938</v>
      </c>
      <c r="AV25" s="341"/>
      <c r="AW25" s="342"/>
      <c r="AX25" s="340"/>
      <c r="AY25" s="926"/>
      <c r="BB25" s="713"/>
      <c r="BC25" s="713"/>
      <c r="BD25" s="711"/>
      <c r="BE25" s="128"/>
      <c r="BF25" s="130"/>
      <c r="BG25" s="129"/>
      <c r="BH25" s="129"/>
      <c r="BI25" s="129"/>
      <c r="BJ25" s="129"/>
      <c r="BK25" s="129"/>
      <c r="BL25" s="130"/>
      <c r="BM25" s="129"/>
      <c r="BN25" s="129"/>
      <c r="BO25" s="129"/>
      <c r="BP25" s="129"/>
    </row>
    <row r="26" spans="1:68" ht="14.5" customHeight="1" x14ac:dyDescent="0.2">
      <c r="A26" s="310" t="s">
        <v>939</v>
      </c>
      <c r="B26" s="779">
        <v>108.2578</v>
      </c>
      <c r="C26" s="500">
        <v>102.13</v>
      </c>
      <c r="E26" s="790" t="s">
        <v>157</v>
      </c>
      <c r="F26" s="779">
        <v>344.5</v>
      </c>
      <c r="G26" s="500">
        <v>325</v>
      </c>
      <c r="H26" s="321"/>
      <c r="I26" s="322" t="s">
        <v>783</v>
      </c>
      <c r="J26" s="779">
        <v>1331.36</v>
      </c>
      <c r="K26" s="500">
        <v>1256</v>
      </c>
      <c r="M26" s="322" t="s">
        <v>940</v>
      </c>
      <c r="N26" s="311">
        <v>0</v>
      </c>
      <c r="Q26" s="322" t="s">
        <v>941</v>
      </c>
      <c r="R26" s="779">
        <v>1419.34</v>
      </c>
      <c r="S26" s="500">
        <v>1339</v>
      </c>
      <c r="T26" s="310">
        <f t="shared" si="3"/>
        <v>1504.5003999999999</v>
      </c>
      <c r="U26" s="322" t="s">
        <v>359</v>
      </c>
      <c r="V26" s="794">
        <v>5813.35</v>
      </c>
      <c r="W26" s="500">
        <v>5669.54</v>
      </c>
      <c r="Y26" s="310" t="s">
        <v>942</v>
      </c>
      <c r="Z26" s="323" t="s">
        <v>943</v>
      </c>
      <c r="AA26" s="794">
        <v>6527.6178000000009</v>
      </c>
      <c r="AB26" s="500">
        <v>6158.13</v>
      </c>
      <c r="AC26" s="312">
        <v>4</v>
      </c>
      <c r="AD26" s="323" t="s">
        <v>774</v>
      </c>
      <c r="AE26" s="312">
        <v>9</v>
      </c>
      <c r="AF26" s="313">
        <f>IF(AD26="S",AC26*#REF!*AE26,AC26*$AD$3*AE26)</f>
        <v>7.2</v>
      </c>
      <c r="AJ26" s="918"/>
      <c r="AM26" s="311"/>
      <c r="AP26" s="322" t="s">
        <v>944</v>
      </c>
      <c r="AQ26" s="311">
        <f>AR26+(POLLUSTOP!$G$42*1.15)</f>
        <v>7044.76</v>
      </c>
      <c r="AR26" s="801">
        <v>7044.76</v>
      </c>
      <c r="AS26" s="498">
        <v>6646</v>
      </c>
      <c r="AU26" s="340"/>
      <c r="AV26" s="341"/>
      <c r="AW26" s="342"/>
      <c r="AX26" s="340"/>
      <c r="AY26" s="926"/>
      <c r="BB26" s="713"/>
      <c r="BC26" s="713"/>
      <c r="BD26" s="711"/>
      <c r="BE26" s="128"/>
      <c r="BF26" s="130"/>
      <c r="BG26" s="129"/>
      <c r="BH26" s="129"/>
      <c r="BI26" s="129"/>
      <c r="BJ26" s="129"/>
      <c r="BK26" s="129"/>
      <c r="BL26" s="130"/>
      <c r="BM26" s="129"/>
      <c r="BN26" s="129"/>
      <c r="BO26" s="129"/>
      <c r="BP26" s="129"/>
    </row>
    <row r="27" spans="1:68" ht="14.5" customHeight="1" x14ac:dyDescent="0.2">
      <c r="E27" s="790" t="s">
        <v>158</v>
      </c>
      <c r="F27" s="779">
        <v>940.22</v>
      </c>
      <c r="G27" s="500">
        <v>887</v>
      </c>
      <c r="H27" s="321"/>
      <c r="I27" s="322" t="s">
        <v>793</v>
      </c>
      <c r="J27" s="779">
        <v>1365.28</v>
      </c>
      <c r="K27" s="500">
        <v>1288</v>
      </c>
      <c r="M27" s="322" t="s">
        <v>945</v>
      </c>
      <c r="N27" s="311">
        <v>0</v>
      </c>
      <c r="Q27" s="322" t="s">
        <v>946</v>
      </c>
      <c r="R27" s="779">
        <v>1556.08</v>
      </c>
      <c r="S27" s="500">
        <v>1468</v>
      </c>
      <c r="T27" s="310">
        <f t="shared" si="3"/>
        <v>1649.4448</v>
      </c>
      <c r="U27" s="322" t="s">
        <v>348</v>
      </c>
      <c r="V27" s="794"/>
      <c r="W27" s="500"/>
      <c r="Y27" s="310" t="s">
        <v>947</v>
      </c>
      <c r="Z27" s="323" t="s">
        <v>948</v>
      </c>
      <c r="AA27" s="794">
        <v>7215.7380000000003</v>
      </c>
      <c r="AB27" s="500">
        <v>6807.3</v>
      </c>
      <c r="AC27" s="312">
        <v>4</v>
      </c>
      <c r="AD27" s="323" t="s">
        <v>774</v>
      </c>
      <c r="AE27" s="312">
        <v>10</v>
      </c>
      <c r="AF27" s="313">
        <f>IF(AD27="S",AC27*#REF!*AE27,AC27*$AD$3*AE27)</f>
        <v>8</v>
      </c>
      <c r="AJ27" s="918"/>
      <c r="AK27" s="332" t="s">
        <v>37</v>
      </c>
      <c r="AL27" s="332"/>
      <c r="AM27" s="332"/>
      <c r="AN27" s="332"/>
      <c r="AP27" s="322" t="s">
        <v>949</v>
      </c>
      <c r="AQ27" s="311">
        <f>AR27+(POLLUSTOP!$G$43*1.15)</f>
        <v>8876.94</v>
      </c>
      <c r="AR27" s="801">
        <v>8531.94</v>
      </c>
      <c r="AS27" s="498">
        <v>8049</v>
      </c>
      <c r="AU27" s="128" t="s">
        <v>950</v>
      </c>
      <c r="AV27" s="330"/>
      <c r="AW27" s="325"/>
      <c r="AX27" s="709"/>
      <c r="BB27" s="713"/>
      <c r="BC27" s="713"/>
      <c r="BD27" s="711"/>
      <c r="BE27" s="128"/>
      <c r="BF27" s="130"/>
      <c r="BG27" s="129"/>
      <c r="BH27" s="129"/>
      <c r="BI27" s="129"/>
      <c r="BJ27" s="129"/>
      <c r="BK27" s="129"/>
      <c r="BL27" s="130"/>
      <c r="BM27" s="129"/>
      <c r="BN27" s="129"/>
      <c r="BO27" s="129"/>
      <c r="BP27" s="129"/>
    </row>
    <row r="28" spans="1:68" ht="14.5" customHeight="1" x14ac:dyDescent="0.2">
      <c r="A28" s="334" t="s">
        <v>80</v>
      </c>
      <c r="B28" s="334"/>
      <c r="C28" s="334"/>
      <c r="E28" s="790" t="s">
        <v>159</v>
      </c>
      <c r="F28" s="779">
        <v>630.70000000000005</v>
      </c>
      <c r="G28" s="500">
        <v>595</v>
      </c>
      <c r="H28" s="321"/>
      <c r="I28" s="322" t="s">
        <v>802</v>
      </c>
      <c r="J28" s="779">
        <v>1565.62</v>
      </c>
      <c r="K28" s="500">
        <v>1477</v>
      </c>
      <c r="M28" s="322" t="s">
        <v>951</v>
      </c>
      <c r="N28" s="311">
        <v>0</v>
      </c>
      <c r="Q28" s="322" t="s">
        <v>952</v>
      </c>
      <c r="R28" s="779">
        <v>1856.06</v>
      </c>
      <c r="S28" s="500">
        <v>1751</v>
      </c>
      <c r="T28" s="310">
        <f t="shared" si="3"/>
        <v>1967.4236000000001</v>
      </c>
      <c r="U28" s="322" t="s">
        <v>825</v>
      </c>
      <c r="V28" s="794"/>
      <c r="W28" s="500"/>
      <c r="Y28" s="310" t="s">
        <v>953</v>
      </c>
      <c r="Z28" s="323" t="s">
        <v>954</v>
      </c>
      <c r="AA28" s="794">
        <v>7903.8582000000006</v>
      </c>
      <c r="AB28" s="500">
        <v>7456.47</v>
      </c>
      <c r="AC28" s="312">
        <v>4</v>
      </c>
      <c r="AD28" s="323" t="s">
        <v>774</v>
      </c>
      <c r="AE28" s="312">
        <v>11</v>
      </c>
      <c r="AF28" s="313">
        <f>IF(AD28="S",AC28*#REF!*AE28,AC28*$AD$3*AE28)</f>
        <v>8.8000000000000007</v>
      </c>
      <c r="AJ28" s="918"/>
      <c r="AK28" s="334" t="s">
        <v>955</v>
      </c>
      <c r="AL28" s="334"/>
      <c r="AM28" s="334"/>
      <c r="AN28" s="332"/>
      <c r="AP28" s="322" t="s">
        <v>956</v>
      </c>
      <c r="AQ28" s="311">
        <f>AR28+(POLLUSTOP!$G$43*1.15)</f>
        <v>9752.5</v>
      </c>
      <c r="AR28" s="801">
        <v>9407.5</v>
      </c>
      <c r="AS28" s="498">
        <v>8875</v>
      </c>
      <c r="AU28" s="713" t="s">
        <v>957</v>
      </c>
      <c r="AV28" s="330"/>
      <c r="AW28" s="325"/>
      <c r="AX28" s="800">
        <v>273.08780000000002</v>
      </c>
      <c r="AY28" s="503">
        <v>257.63</v>
      </c>
      <c r="BB28" s="713"/>
      <c r="BC28" s="713"/>
      <c r="BD28" s="711"/>
      <c r="BE28" s="128"/>
      <c r="BF28" s="130"/>
      <c r="BG28" s="129"/>
      <c r="BH28" s="129"/>
      <c r="BI28" s="129"/>
      <c r="BJ28" s="129"/>
      <c r="BK28" s="129"/>
      <c r="BL28" s="130"/>
      <c r="BM28" s="129"/>
      <c r="BN28" s="129"/>
      <c r="BO28" s="129"/>
      <c r="BP28" s="129"/>
    </row>
    <row r="29" spans="1:68" ht="14.5" customHeight="1" x14ac:dyDescent="0.2">
      <c r="A29" s="310" t="s">
        <v>958</v>
      </c>
      <c r="B29" s="779">
        <v>116.6</v>
      </c>
      <c r="C29" s="500">
        <v>110</v>
      </c>
      <c r="E29" s="790" t="s">
        <v>959</v>
      </c>
      <c r="F29" s="779">
        <v>376.3</v>
      </c>
      <c r="G29" s="500">
        <v>355</v>
      </c>
      <c r="H29" s="321"/>
      <c r="I29" s="322" t="s">
        <v>812</v>
      </c>
      <c r="J29" s="779">
        <v>2280.06</v>
      </c>
      <c r="K29" s="500">
        <v>2151</v>
      </c>
      <c r="M29" s="322" t="s">
        <v>960</v>
      </c>
      <c r="N29" s="311">
        <v>0</v>
      </c>
      <c r="Q29" s="322" t="s">
        <v>961</v>
      </c>
      <c r="R29" s="779">
        <v>793.94</v>
      </c>
      <c r="S29" s="500">
        <v>749</v>
      </c>
      <c r="T29" s="310">
        <f t="shared" si="3"/>
        <v>841.57640000000015</v>
      </c>
      <c r="U29" s="322" t="s">
        <v>350</v>
      </c>
      <c r="V29" s="794"/>
      <c r="W29" s="500"/>
      <c r="Y29" s="310" t="s">
        <v>962</v>
      </c>
      <c r="Z29" s="323" t="s">
        <v>963</v>
      </c>
      <c r="AA29" s="794">
        <v>8591.9784</v>
      </c>
      <c r="AB29" s="500">
        <v>8105.64</v>
      </c>
      <c r="AC29" s="312">
        <v>4</v>
      </c>
      <c r="AD29" s="323" t="s">
        <v>774</v>
      </c>
      <c r="AE29" s="312">
        <v>12</v>
      </c>
      <c r="AF29" s="313">
        <f>IF(AD29="S",AC29*#REF!*AE29,AC29*$AD$3*AE29)</f>
        <v>9.6000000000000014</v>
      </c>
      <c r="AJ29" s="918"/>
      <c r="AK29" s="322" t="s">
        <v>964</v>
      </c>
      <c r="AL29" s="322" t="s">
        <v>965</v>
      </c>
      <c r="AM29" s="794">
        <v>1374.1733999999999</v>
      </c>
      <c r="AN29" s="498">
        <v>1296.3900000000001</v>
      </c>
      <c r="AO29" s="504"/>
      <c r="AP29" s="322" t="s">
        <v>966</v>
      </c>
      <c r="AQ29" s="311">
        <f>AR29+(POLLUSTOP!$G$43*1.15)</f>
        <v>11594.78</v>
      </c>
      <c r="AR29" s="801">
        <v>11249.78</v>
      </c>
      <c r="AS29" s="498">
        <v>10613</v>
      </c>
      <c r="AU29" s="713" t="s">
        <v>967</v>
      </c>
      <c r="AV29" s="330"/>
      <c r="AW29" s="325"/>
      <c r="AX29" s="800">
        <v>300.34039999999999</v>
      </c>
      <c r="AY29" s="503">
        <v>283.33999999999997</v>
      </c>
      <c r="BB29" s="713"/>
      <c r="BC29" s="713"/>
      <c r="BD29" s="711"/>
      <c r="BE29" s="128"/>
      <c r="BF29" s="130"/>
      <c r="BG29" s="129"/>
      <c r="BH29" s="129"/>
      <c r="BI29" s="129"/>
      <c r="BJ29" s="129"/>
      <c r="BK29" s="129"/>
      <c r="BL29" s="130"/>
      <c r="BM29" s="129"/>
      <c r="BN29" s="129"/>
      <c r="BO29" s="129"/>
      <c r="BP29" s="129"/>
    </row>
    <row r="30" spans="1:68" ht="14.5" customHeight="1" x14ac:dyDescent="0.2">
      <c r="E30" s="790" t="s">
        <v>160</v>
      </c>
      <c r="F30" s="779">
        <v>940.22</v>
      </c>
      <c r="G30" s="500">
        <v>887</v>
      </c>
      <c r="H30" s="321"/>
      <c r="I30" s="322" t="s">
        <v>822</v>
      </c>
      <c r="J30" s="779">
        <v>2629.86</v>
      </c>
      <c r="K30" s="500">
        <v>2481</v>
      </c>
      <c r="Q30" s="322" t="s">
        <v>968</v>
      </c>
      <c r="R30" s="779">
        <v>877.68000000000006</v>
      </c>
      <c r="S30" s="500">
        <v>828</v>
      </c>
      <c r="T30" s="310">
        <f t="shared" si="3"/>
        <v>930.34080000000006</v>
      </c>
      <c r="U30" s="322" t="s">
        <v>360</v>
      </c>
      <c r="V30" s="794">
        <v>7201.18</v>
      </c>
      <c r="W30" s="500">
        <v>7024.67</v>
      </c>
      <c r="Y30" s="310" t="s">
        <v>969</v>
      </c>
      <c r="Z30" s="323" t="s">
        <v>970</v>
      </c>
      <c r="AA30" s="794">
        <v>1081.6451999999999</v>
      </c>
      <c r="AB30" s="500">
        <v>1020.42</v>
      </c>
      <c r="AC30" s="312">
        <v>6</v>
      </c>
      <c r="AD30" s="323" t="s">
        <v>772</v>
      </c>
      <c r="AE30" s="312">
        <v>1</v>
      </c>
      <c r="AF30" s="313">
        <f t="shared" ref="AF30:AF41" si="4">IF(AD30="S",AC30*$AD$1*AE30,AC30*$AD$3*AE30)</f>
        <v>0.60000000000000009</v>
      </c>
      <c r="AJ30" s="918"/>
      <c r="AK30" s="322" t="s">
        <v>971</v>
      </c>
      <c r="AL30" s="322" t="s">
        <v>972</v>
      </c>
      <c r="AM30" s="794">
        <v>281.43</v>
      </c>
      <c r="AN30" s="498">
        <v>265.5</v>
      </c>
      <c r="AO30" s="504"/>
      <c r="AP30" s="322" t="s">
        <v>973</v>
      </c>
      <c r="AQ30" s="311">
        <f>AR30+(POLLUSTOP!$G$44*1.15)</f>
        <v>13116.96</v>
      </c>
      <c r="AR30" s="801">
        <v>13001.96</v>
      </c>
      <c r="AS30" s="498">
        <v>12266</v>
      </c>
      <c r="AU30" s="713" t="s">
        <v>974</v>
      </c>
      <c r="AV30" s="330"/>
      <c r="AW30" s="325"/>
      <c r="AX30" s="800">
        <v>311.77780000000001</v>
      </c>
      <c r="AY30" s="503">
        <v>294.13</v>
      </c>
      <c r="BB30" s="713"/>
      <c r="BC30" s="713"/>
      <c r="BD30" s="711"/>
      <c r="BE30" s="128"/>
      <c r="BF30" s="130"/>
      <c r="BG30" s="129"/>
      <c r="BH30" s="129"/>
      <c r="BI30" s="129"/>
      <c r="BJ30" s="129"/>
      <c r="BK30" s="129"/>
      <c r="BL30" s="130"/>
      <c r="BM30" s="129"/>
      <c r="BN30" s="129"/>
      <c r="BO30" s="129"/>
      <c r="BP30" s="129"/>
    </row>
    <row r="31" spans="1:68" ht="14.5" customHeight="1" x14ac:dyDescent="0.2">
      <c r="E31" s="790" t="s">
        <v>161</v>
      </c>
      <c r="F31" s="779">
        <v>943.40000000000009</v>
      </c>
      <c r="G31" s="500">
        <v>890</v>
      </c>
      <c r="H31" s="321"/>
      <c r="I31" s="322" t="s">
        <v>833</v>
      </c>
      <c r="J31" s="779">
        <v>2799.46</v>
      </c>
      <c r="K31" s="500">
        <v>2641</v>
      </c>
      <c r="M31" s="332" t="s">
        <v>975</v>
      </c>
      <c r="N31" s="332"/>
      <c r="O31" s="332"/>
      <c r="Q31" s="322" t="s">
        <v>976</v>
      </c>
      <c r="R31" s="779">
        <v>992.16000000000008</v>
      </c>
      <c r="S31" s="500">
        <v>936</v>
      </c>
      <c r="T31" s="310">
        <f t="shared" si="3"/>
        <v>1051.6896000000002</v>
      </c>
      <c r="U31" s="322" t="s">
        <v>361</v>
      </c>
      <c r="V31" s="794">
        <v>0</v>
      </c>
      <c r="W31" s="500">
        <v>0</v>
      </c>
      <c r="Y31" s="310" t="s">
        <v>977</v>
      </c>
      <c r="Z31" s="323" t="s">
        <v>978</v>
      </c>
      <c r="AA31" s="794">
        <v>1828.8710000000001</v>
      </c>
      <c r="AB31" s="500">
        <v>1725.35</v>
      </c>
      <c r="AC31" s="312">
        <v>6</v>
      </c>
      <c r="AD31" s="323" t="s">
        <v>772</v>
      </c>
      <c r="AE31" s="312">
        <v>2</v>
      </c>
      <c r="AF31" s="313">
        <f t="shared" si="4"/>
        <v>1.2000000000000002</v>
      </c>
      <c r="AJ31" s="918"/>
      <c r="AK31" s="310" t="s">
        <v>979</v>
      </c>
      <c r="AL31" s="322" t="s">
        <v>980</v>
      </c>
      <c r="AM31" s="794">
        <v>69.37700000000001</v>
      </c>
      <c r="AN31" s="498">
        <v>65.45</v>
      </c>
      <c r="AO31" s="504"/>
      <c r="AP31" s="322"/>
      <c r="AU31" s="713" t="s">
        <v>981</v>
      </c>
      <c r="AV31" s="330"/>
      <c r="AW31" s="325"/>
      <c r="AX31" s="800">
        <v>353.49939999999998</v>
      </c>
      <c r="AY31" s="503">
        <v>333.49</v>
      </c>
      <c r="BB31" s="713"/>
      <c r="BC31" s="713"/>
      <c r="BD31" s="711"/>
      <c r="BE31" s="128"/>
      <c r="BF31" s="130"/>
      <c r="BG31" s="129"/>
      <c r="BH31" s="129"/>
      <c r="BI31" s="129"/>
      <c r="BJ31" s="129"/>
      <c r="BK31" s="129"/>
      <c r="BL31" s="130"/>
      <c r="BM31" s="129"/>
      <c r="BN31" s="129"/>
      <c r="BO31" s="129"/>
      <c r="BP31" s="129"/>
    </row>
    <row r="32" spans="1:68" ht="14.5" customHeight="1" x14ac:dyDescent="0.2">
      <c r="A32" s="334" t="s">
        <v>15</v>
      </c>
      <c r="B32" s="335">
        <v>1</v>
      </c>
      <c r="C32" s="335"/>
      <c r="E32" s="790" t="s">
        <v>162</v>
      </c>
      <c r="F32" s="779">
        <v>540.6</v>
      </c>
      <c r="G32" s="500">
        <v>510</v>
      </c>
      <c r="H32" s="321"/>
      <c r="M32" s="312">
        <v>1000</v>
      </c>
      <c r="N32" s="311" t="s">
        <v>982</v>
      </c>
      <c r="Q32" s="322" t="s">
        <v>983</v>
      </c>
      <c r="R32" s="779">
        <v>1055.76</v>
      </c>
      <c r="S32" s="500">
        <v>996</v>
      </c>
      <c r="T32" s="310">
        <f t="shared" si="3"/>
        <v>1119.1056000000001</v>
      </c>
      <c r="U32" s="322" t="s">
        <v>362</v>
      </c>
      <c r="V32" s="794">
        <v>7201.18</v>
      </c>
      <c r="W32" s="500">
        <v>7024.67</v>
      </c>
      <c r="Y32" s="310" t="s">
        <v>984</v>
      </c>
      <c r="Z32" s="323" t="s">
        <v>985</v>
      </c>
      <c r="AA32" s="794">
        <v>2576.0967999999998</v>
      </c>
      <c r="AB32" s="500">
        <v>2430.2800000000002</v>
      </c>
      <c r="AC32" s="312">
        <v>6</v>
      </c>
      <c r="AD32" s="323" t="s">
        <v>772</v>
      </c>
      <c r="AE32" s="312">
        <v>3</v>
      </c>
      <c r="AF32" s="313">
        <f t="shared" si="4"/>
        <v>1.8000000000000003</v>
      </c>
      <c r="AJ32" s="918"/>
      <c r="AK32" s="322"/>
      <c r="AL32" s="322"/>
      <c r="AM32" s="794">
        <v>0</v>
      </c>
      <c r="AN32" s="498"/>
      <c r="AO32" s="504"/>
      <c r="AP32" s="340" t="s">
        <v>645</v>
      </c>
      <c r="AQ32" s="334"/>
      <c r="AR32" s="334"/>
      <c r="AS32" s="334"/>
      <c r="AU32" s="713" t="s">
        <v>981</v>
      </c>
      <c r="AV32" s="330"/>
      <c r="AW32" s="325"/>
      <c r="AX32" s="800">
        <v>485.16199999999998</v>
      </c>
      <c r="AY32" s="503">
        <v>457.7</v>
      </c>
      <c r="BB32" s="739"/>
      <c r="BC32" s="713"/>
      <c r="BD32" s="711"/>
      <c r="BE32" s="128"/>
      <c r="BF32" s="130"/>
      <c r="BG32" s="129"/>
      <c r="BH32" s="129"/>
      <c r="BI32" s="129"/>
      <c r="BJ32" s="129"/>
      <c r="BK32" s="129"/>
      <c r="BL32" s="130"/>
      <c r="BM32" s="129"/>
      <c r="BN32" s="129"/>
      <c r="BO32" s="129"/>
      <c r="BP32" s="129"/>
    </row>
    <row r="33" spans="1:68" ht="14.5" customHeight="1" x14ac:dyDescent="0.2">
      <c r="A33" s="322" t="s">
        <v>986</v>
      </c>
      <c r="B33" s="318">
        <v>0</v>
      </c>
      <c r="C33" s="318"/>
      <c r="E33" s="790" t="s">
        <v>163</v>
      </c>
      <c r="F33" s="779">
        <v>938.1</v>
      </c>
      <c r="G33" s="500">
        <v>885</v>
      </c>
      <c r="H33" s="321"/>
      <c r="I33" s="332" t="s">
        <v>493</v>
      </c>
      <c r="J33" s="332"/>
      <c r="K33" s="332"/>
      <c r="M33" s="312">
        <v>1250</v>
      </c>
      <c r="N33" s="311" t="s">
        <v>987</v>
      </c>
      <c r="Q33" s="322" t="s">
        <v>988</v>
      </c>
      <c r="R33" s="779">
        <v>390.08</v>
      </c>
      <c r="S33" s="500">
        <v>368</v>
      </c>
      <c r="T33" s="310">
        <f t="shared" si="3"/>
        <v>413.48480000000001</v>
      </c>
      <c r="U33" s="322" t="s">
        <v>348</v>
      </c>
      <c r="V33" s="794"/>
      <c r="W33" s="500"/>
      <c r="Y33" s="310" t="s">
        <v>989</v>
      </c>
      <c r="Z33" s="323" t="s">
        <v>990</v>
      </c>
      <c r="AA33" s="794">
        <v>3323.3226</v>
      </c>
      <c r="AB33" s="500">
        <v>3135.21</v>
      </c>
      <c r="AC33" s="312">
        <v>6</v>
      </c>
      <c r="AD33" s="323" t="s">
        <v>772</v>
      </c>
      <c r="AE33" s="312">
        <v>4</v>
      </c>
      <c r="AF33" s="313">
        <f t="shared" si="4"/>
        <v>2.4000000000000004</v>
      </c>
      <c r="AJ33" s="918"/>
      <c r="AK33" s="322" t="s">
        <v>930</v>
      </c>
      <c r="AL33" s="322"/>
      <c r="AM33" s="794">
        <v>50</v>
      </c>
      <c r="AN33" s="498">
        <v>50</v>
      </c>
      <c r="AO33" s="504"/>
      <c r="AP33" s="331" t="s">
        <v>374</v>
      </c>
      <c r="AQ33" s="311">
        <v>0</v>
      </c>
      <c r="AR33" s="781"/>
      <c r="AS33" s="781"/>
      <c r="AU33" s="713" t="s">
        <v>991</v>
      </c>
      <c r="AV33" s="330"/>
      <c r="AW33" s="325"/>
      <c r="AX33" s="800">
        <v>543.89660000000003</v>
      </c>
      <c r="AY33" s="503">
        <v>513.11</v>
      </c>
      <c r="BB33" s="713"/>
      <c r="BC33" s="713"/>
      <c r="BD33" s="711"/>
      <c r="BE33" s="128"/>
      <c r="BF33" s="130"/>
      <c r="BG33" s="129"/>
      <c r="BH33" s="129"/>
      <c r="BI33" s="129"/>
      <c r="BJ33" s="129"/>
      <c r="BK33" s="129"/>
      <c r="BL33" s="129"/>
      <c r="BM33" s="129"/>
      <c r="BN33" s="129"/>
      <c r="BO33" s="129"/>
      <c r="BP33" s="129"/>
    </row>
    <row r="34" spans="1:68" ht="14.5" customHeight="1" x14ac:dyDescent="0.2">
      <c r="A34" s="322" t="s">
        <v>992</v>
      </c>
      <c r="B34" s="318">
        <v>0</v>
      </c>
      <c r="C34" s="318"/>
      <c r="E34" s="790" t="s">
        <v>164</v>
      </c>
      <c r="F34" s="779">
        <v>478.06</v>
      </c>
      <c r="G34" s="500">
        <v>451</v>
      </c>
      <c r="H34" s="321"/>
      <c r="I34" s="310" t="s">
        <v>855</v>
      </c>
      <c r="J34" s="779">
        <v>429.3</v>
      </c>
      <c r="K34" s="500">
        <v>405</v>
      </c>
      <c r="M34" s="312">
        <v>1500</v>
      </c>
      <c r="N34" s="311" t="s">
        <v>987</v>
      </c>
      <c r="S34" s="311"/>
      <c r="U34" s="322" t="s">
        <v>825</v>
      </c>
      <c r="V34" s="794"/>
      <c r="W34" s="500"/>
      <c r="Y34" s="310" t="s">
        <v>993</v>
      </c>
      <c r="Z34" s="323" t="s">
        <v>994</v>
      </c>
      <c r="AA34" s="794">
        <v>4070.5484000000001</v>
      </c>
      <c r="AB34" s="500">
        <v>3840.14</v>
      </c>
      <c r="AC34" s="312">
        <v>6</v>
      </c>
      <c r="AD34" s="323" t="s">
        <v>772</v>
      </c>
      <c r="AE34" s="312">
        <v>5</v>
      </c>
      <c r="AF34" s="313">
        <f t="shared" si="4"/>
        <v>3.0000000000000004</v>
      </c>
      <c r="AJ34" s="918"/>
      <c r="AK34" s="322" t="s">
        <v>995</v>
      </c>
      <c r="AM34" s="794">
        <v>362.65780000000001</v>
      </c>
      <c r="AN34" s="498">
        <v>342.13</v>
      </c>
      <c r="AO34" s="504"/>
      <c r="AP34" s="331" t="s">
        <v>996</v>
      </c>
      <c r="AQ34" s="311">
        <f>(POLLUSTOP!$G$39*0.79)+AR34</f>
        <v>1933.37</v>
      </c>
      <c r="AR34" s="801">
        <v>708.08</v>
      </c>
      <c r="AS34" s="498">
        <v>668</v>
      </c>
      <c r="AU34" s="713" t="s">
        <v>997</v>
      </c>
      <c r="AV34" s="330"/>
      <c r="AW34" s="325"/>
      <c r="AX34" s="800">
        <v>809.4054000000001</v>
      </c>
      <c r="AY34" s="503">
        <v>763.59</v>
      </c>
      <c r="BB34" s="713"/>
      <c r="BC34" s="713"/>
      <c r="BD34" s="711"/>
      <c r="BE34" s="128"/>
      <c r="BF34" s="130"/>
      <c r="BG34" s="129"/>
      <c r="BH34" s="129"/>
      <c r="BI34" s="129"/>
      <c r="BJ34" s="129"/>
      <c r="BK34" s="129"/>
      <c r="BL34" s="129"/>
      <c r="BM34" s="129"/>
      <c r="BN34" s="129"/>
      <c r="BO34" s="129"/>
      <c r="BP34" s="129"/>
    </row>
    <row r="35" spans="1:68" ht="14.5" customHeight="1" x14ac:dyDescent="0.2">
      <c r="A35" s="322" t="s">
        <v>998</v>
      </c>
      <c r="B35" s="318">
        <v>0</v>
      </c>
      <c r="C35" s="318"/>
      <c r="E35" s="790" t="s">
        <v>165</v>
      </c>
      <c r="F35" s="779">
        <v>901</v>
      </c>
      <c r="G35" s="500">
        <v>850</v>
      </c>
      <c r="H35" s="321"/>
      <c r="I35" s="310" t="s">
        <v>862</v>
      </c>
      <c r="J35" s="779">
        <v>430.36</v>
      </c>
      <c r="K35" s="500">
        <v>406</v>
      </c>
      <c r="M35" s="312">
        <v>1750</v>
      </c>
      <c r="N35" s="311" t="s">
        <v>999</v>
      </c>
      <c r="Q35" s="332" t="s">
        <v>85</v>
      </c>
      <c r="R35" s="332">
        <v>0</v>
      </c>
      <c r="S35" s="332">
        <v>0</v>
      </c>
      <c r="U35" s="322" t="s">
        <v>350</v>
      </c>
      <c r="V35" s="794"/>
      <c r="W35" s="500"/>
      <c r="Y35" s="310" t="s">
        <v>1000</v>
      </c>
      <c r="Z35" s="323" t="s">
        <v>1001</v>
      </c>
      <c r="AA35" s="794">
        <v>4817.7741999999998</v>
      </c>
      <c r="AB35" s="500">
        <v>4545.07</v>
      </c>
      <c r="AC35" s="312">
        <v>6</v>
      </c>
      <c r="AD35" s="323" t="s">
        <v>772</v>
      </c>
      <c r="AE35" s="312">
        <v>6</v>
      </c>
      <c r="AF35" s="313">
        <f t="shared" si="4"/>
        <v>3.6000000000000005</v>
      </c>
      <c r="AJ35" s="918"/>
      <c r="AM35" s="920">
        <v>0</v>
      </c>
      <c r="AN35" s="498">
        <v>0</v>
      </c>
      <c r="AO35" s="504"/>
      <c r="AP35" s="331" t="s">
        <v>1002</v>
      </c>
      <c r="AQ35" s="311">
        <f>AR35+(POLLUSTOP!$G$40*0.79)</f>
        <v>1373.5</v>
      </c>
      <c r="AR35" s="801">
        <v>913.72</v>
      </c>
      <c r="AS35" s="498">
        <v>862</v>
      </c>
      <c r="AU35" s="713" t="s">
        <v>1003</v>
      </c>
      <c r="AV35" s="330"/>
      <c r="AW35" s="325"/>
      <c r="AX35" s="800">
        <v>593.1866</v>
      </c>
      <c r="AY35" s="503">
        <v>559.61</v>
      </c>
      <c r="BB35" s="713"/>
      <c r="BC35" s="713"/>
      <c r="BD35" s="711"/>
      <c r="BE35" s="128"/>
      <c r="BF35" s="130"/>
      <c r="BG35" s="129"/>
      <c r="BH35" s="129"/>
      <c r="BI35" s="129"/>
      <c r="BJ35" s="129"/>
      <c r="BK35" s="129"/>
      <c r="BL35" s="129"/>
      <c r="BM35" s="129"/>
      <c r="BN35" s="129"/>
      <c r="BO35" s="129"/>
      <c r="BP35" s="129"/>
    </row>
    <row r="36" spans="1:68" ht="14.5" customHeight="1" x14ac:dyDescent="0.2">
      <c r="A36" s="322"/>
      <c r="B36" s="318">
        <v>0</v>
      </c>
      <c r="C36" s="318"/>
      <c r="E36" s="790" t="s">
        <v>166</v>
      </c>
      <c r="F36" s="779">
        <v>672.04000000000008</v>
      </c>
      <c r="G36" s="500">
        <v>634</v>
      </c>
      <c r="H36" s="321"/>
      <c r="I36" s="310" t="s">
        <v>871</v>
      </c>
      <c r="J36" s="779">
        <v>327.54000000000002</v>
      </c>
      <c r="K36" s="500">
        <v>309</v>
      </c>
      <c r="M36" s="312">
        <v>2000</v>
      </c>
      <c r="N36" s="311" t="s">
        <v>999</v>
      </c>
      <c r="Q36" s="369" t="s">
        <v>1004</v>
      </c>
      <c r="R36" s="779">
        <v>778.33680000000004</v>
      </c>
      <c r="S36" s="500">
        <v>734.28</v>
      </c>
      <c r="T36" s="310">
        <f t="shared" ref="T36:T45" si="5">R36*1.06</f>
        <v>825.03700800000013</v>
      </c>
      <c r="U36" s="322" t="s">
        <v>363</v>
      </c>
      <c r="V36" s="794">
        <v>8354.61</v>
      </c>
      <c r="W36" s="500">
        <v>8151.82</v>
      </c>
      <c r="Y36" s="310" t="s">
        <v>1005</v>
      </c>
      <c r="Z36" s="323" t="s">
        <v>1006</v>
      </c>
      <c r="AA36" s="794">
        <v>5565</v>
      </c>
      <c r="AB36" s="500">
        <v>5250</v>
      </c>
      <c r="AC36" s="312">
        <v>6</v>
      </c>
      <c r="AD36" s="323" t="s">
        <v>772</v>
      </c>
      <c r="AE36" s="312">
        <v>7</v>
      </c>
      <c r="AF36" s="313">
        <f t="shared" si="4"/>
        <v>4.2000000000000011</v>
      </c>
      <c r="AJ36" s="918"/>
      <c r="AM36" s="920">
        <v>0</v>
      </c>
      <c r="AN36" s="498">
        <v>0</v>
      </c>
      <c r="AO36" s="504"/>
      <c r="AP36" s="331" t="s">
        <v>1007</v>
      </c>
      <c r="AQ36" s="311">
        <f>AR36+(POLLUSTOP!$G$41*0.79)</f>
        <v>1029.26</v>
      </c>
      <c r="AR36" s="801">
        <v>1029.26</v>
      </c>
      <c r="AS36" s="498">
        <v>971</v>
      </c>
      <c r="AU36" s="713" t="s">
        <v>1008</v>
      </c>
      <c r="AV36" s="330"/>
      <c r="AW36" s="325"/>
      <c r="AX36" s="800">
        <v>620.43920000000003</v>
      </c>
      <c r="AY36" s="503">
        <v>585.32000000000005</v>
      </c>
      <c r="BB36" s="713"/>
      <c r="BC36" s="713"/>
      <c r="BD36" s="711"/>
      <c r="BE36" s="128"/>
      <c r="BF36" s="130"/>
      <c r="BG36" s="129"/>
      <c r="BH36" s="129"/>
      <c r="BI36" s="129"/>
      <c r="BJ36" s="129"/>
      <c r="BK36" s="129"/>
      <c r="BL36" s="129"/>
      <c r="BM36" s="129"/>
      <c r="BN36" s="129"/>
      <c r="BO36" s="129"/>
      <c r="BP36" s="129"/>
    </row>
    <row r="37" spans="1:68" ht="14.5" customHeight="1" x14ac:dyDescent="0.2">
      <c r="A37" s="322" t="s">
        <v>1009</v>
      </c>
      <c r="B37" s="317">
        <v>0</v>
      </c>
      <c r="C37" s="317"/>
      <c r="E37" s="790" t="s">
        <v>167</v>
      </c>
      <c r="F37" s="779">
        <v>540.6</v>
      </c>
      <c r="G37" s="500">
        <v>510</v>
      </c>
      <c r="H37" s="321"/>
      <c r="I37" s="310" t="s">
        <v>879</v>
      </c>
      <c r="J37" s="779">
        <v>604.20000000000005</v>
      </c>
      <c r="K37" s="500">
        <v>570</v>
      </c>
      <c r="M37" s="312">
        <v>2250</v>
      </c>
      <c r="N37" s="311" t="s">
        <v>1010</v>
      </c>
      <c r="Q37" s="369" t="s">
        <v>1011</v>
      </c>
      <c r="R37" s="779">
        <v>873.94880000000012</v>
      </c>
      <c r="S37" s="500">
        <v>824.48</v>
      </c>
      <c r="T37" s="310">
        <f t="shared" si="5"/>
        <v>926.3857280000002</v>
      </c>
      <c r="U37" s="322" t="s">
        <v>364</v>
      </c>
      <c r="V37" s="794">
        <v>0</v>
      </c>
      <c r="W37" s="500">
        <v>0</v>
      </c>
      <c r="Y37" s="310" t="s">
        <v>1012</v>
      </c>
      <c r="Z37" s="323" t="s">
        <v>1013</v>
      </c>
      <c r="AA37" s="794">
        <v>6312.2258000000011</v>
      </c>
      <c r="AB37" s="500">
        <v>5954.93</v>
      </c>
      <c r="AC37" s="312">
        <v>6</v>
      </c>
      <c r="AD37" s="323" t="s">
        <v>772</v>
      </c>
      <c r="AE37" s="312">
        <v>8</v>
      </c>
      <c r="AF37" s="313">
        <f t="shared" si="4"/>
        <v>4.8000000000000007</v>
      </c>
      <c r="AJ37" s="918"/>
      <c r="AK37" s="322" t="s">
        <v>1014</v>
      </c>
      <c r="AL37" s="322"/>
      <c r="AM37" s="794">
        <v>53</v>
      </c>
      <c r="AN37" s="498">
        <v>50</v>
      </c>
      <c r="AO37" s="504"/>
      <c r="AP37" s="331" t="s">
        <v>1015</v>
      </c>
      <c r="AQ37" s="311">
        <f>AR37+(POLLUSTOP!$G$41*0.79)</f>
        <v>1103.46</v>
      </c>
      <c r="AR37" s="801">
        <v>1103.46</v>
      </c>
      <c r="AS37" s="498">
        <v>1041</v>
      </c>
      <c r="AU37" s="713" t="s">
        <v>1016</v>
      </c>
      <c r="AV37" s="330"/>
      <c r="AW37" s="325"/>
      <c r="AX37" s="800">
        <v>631.87660000000005</v>
      </c>
      <c r="AY37" s="503">
        <v>596.11</v>
      </c>
      <c r="BB37" s="713"/>
    </row>
    <row r="38" spans="1:68" ht="14.5" customHeight="1" x14ac:dyDescent="0.2">
      <c r="E38" s="790" t="s">
        <v>168</v>
      </c>
      <c r="F38" s="779">
        <v>578.76</v>
      </c>
      <c r="G38" s="500">
        <v>546</v>
      </c>
      <c r="H38" s="321"/>
      <c r="M38" s="312">
        <v>2500</v>
      </c>
      <c r="N38" s="311" t="s">
        <v>539</v>
      </c>
      <c r="Q38" s="369" t="s">
        <v>1017</v>
      </c>
      <c r="R38" s="779">
        <v>1152.8453999999999</v>
      </c>
      <c r="S38" s="500">
        <v>1087.5899999999999</v>
      </c>
      <c r="T38" s="310">
        <f t="shared" si="5"/>
        <v>1222.016124</v>
      </c>
      <c r="U38" s="322" t="s">
        <v>365</v>
      </c>
      <c r="V38" s="794">
        <v>8354.61</v>
      </c>
      <c r="W38" s="500">
        <v>8151.82</v>
      </c>
      <c r="Y38" s="310" t="s">
        <v>1018</v>
      </c>
      <c r="Z38" s="323" t="s">
        <v>1019</v>
      </c>
      <c r="AA38" s="794">
        <v>7059.4516000000003</v>
      </c>
      <c r="AB38" s="500">
        <v>6659.86</v>
      </c>
      <c r="AC38" s="312">
        <v>6</v>
      </c>
      <c r="AD38" s="323" t="s">
        <v>772</v>
      </c>
      <c r="AE38" s="312">
        <v>9</v>
      </c>
      <c r="AF38" s="313">
        <f t="shared" si="4"/>
        <v>5.4</v>
      </c>
      <c r="AJ38" s="918"/>
      <c r="AP38" s="331" t="s">
        <v>1020</v>
      </c>
      <c r="AQ38" s="311">
        <f>AR38+(POLLUSTOP!$G$42*0.79)</f>
        <v>1232.78</v>
      </c>
      <c r="AR38" s="801">
        <v>1232.78</v>
      </c>
      <c r="AS38" s="498">
        <v>1163</v>
      </c>
      <c r="AU38" s="713" t="s">
        <v>1021</v>
      </c>
      <c r="AV38" s="330"/>
      <c r="AW38" s="325"/>
      <c r="AX38" s="800">
        <v>673.59820000000002</v>
      </c>
      <c r="AY38" s="503">
        <v>635.47</v>
      </c>
      <c r="BB38" s="713"/>
    </row>
    <row r="39" spans="1:68" ht="14.5" customHeight="1" x14ac:dyDescent="0.2">
      <c r="A39" s="334" t="s">
        <v>87</v>
      </c>
      <c r="B39" s="335" t="s">
        <v>776</v>
      </c>
      <c r="C39" s="335" t="s">
        <v>849</v>
      </c>
      <c r="E39" s="790" t="s">
        <v>169</v>
      </c>
      <c r="F39" s="779">
        <v>218.36</v>
      </c>
      <c r="G39" s="500">
        <v>206</v>
      </c>
      <c r="H39" s="321"/>
      <c r="I39" s="332" t="s">
        <v>495</v>
      </c>
      <c r="J39" s="332"/>
      <c r="K39" s="332"/>
      <c r="M39" s="312">
        <v>2750</v>
      </c>
      <c r="N39" s="311" t="s">
        <v>539</v>
      </c>
      <c r="Q39" s="369" t="s">
        <v>1022</v>
      </c>
      <c r="R39" s="779">
        <v>1183.3522</v>
      </c>
      <c r="S39" s="500">
        <v>1116.3699999999999</v>
      </c>
      <c r="T39" s="310">
        <f t="shared" si="5"/>
        <v>1254.3533320000001</v>
      </c>
      <c r="U39" s="322" t="s">
        <v>348</v>
      </c>
      <c r="V39" s="794"/>
      <c r="W39" s="500"/>
      <c r="Y39" s="310" t="s">
        <v>1023</v>
      </c>
      <c r="Z39" s="323" t="s">
        <v>1024</v>
      </c>
      <c r="AA39" s="794">
        <v>7806.6773999999996</v>
      </c>
      <c r="AB39" s="500">
        <v>7364.79</v>
      </c>
      <c r="AC39" s="312">
        <v>6</v>
      </c>
      <c r="AD39" s="323" t="s">
        <v>772</v>
      </c>
      <c r="AE39" s="312">
        <v>10</v>
      </c>
      <c r="AF39" s="313">
        <f t="shared" si="4"/>
        <v>6.0000000000000009</v>
      </c>
      <c r="AJ39" s="918"/>
      <c r="AP39" s="331" t="s">
        <v>1025</v>
      </c>
      <c r="AQ39" s="311">
        <f>AR39+(POLLUSTOP!$G$42*0.79)</f>
        <v>1323.94</v>
      </c>
      <c r="AR39" s="801">
        <v>1323.94</v>
      </c>
      <c r="AS39" s="498">
        <v>1249</v>
      </c>
      <c r="AU39" s="713" t="s">
        <v>1021</v>
      </c>
      <c r="AV39" s="330"/>
      <c r="AW39" s="325"/>
      <c r="AX39" s="800">
        <v>801.02080000000001</v>
      </c>
      <c r="AY39" s="503">
        <v>755.68</v>
      </c>
      <c r="BB39" s="713"/>
    </row>
    <row r="40" spans="1:68" ht="14.5" customHeight="1" x14ac:dyDescent="0.2">
      <c r="A40" s="322" t="s">
        <v>63</v>
      </c>
      <c r="B40" s="318" t="s">
        <v>824</v>
      </c>
      <c r="C40" s="318" t="s">
        <v>849</v>
      </c>
      <c r="E40" s="790" t="s">
        <v>170</v>
      </c>
      <c r="F40" s="779">
        <v>858.6</v>
      </c>
      <c r="G40" s="500">
        <v>810</v>
      </c>
      <c r="H40" s="321"/>
      <c r="I40" s="322" t="s">
        <v>1026</v>
      </c>
      <c r="J40" s="779">
        <v>687.00720000000001</v>
      </c>
      <c r="K40" s="500">
        <v>648.12</v>
      </c>
      <c r="M40" s="312">
        <v>3000</v>
      </c>
      <c r="N40" s="311" t="s">
        <v>539</v>
      </c>
      <c r="Q40" s="369" t="s">
        <v>1027</v>
      </c>
      <c r="R40" s="779">
        <v>1317.4104</v>
      </c>
      <c r="S40" s="500">
        <v>1242.8399999999999</v>
      </c>
      <c r="T40" s="310">
        <f t="shared" si="5"/>
        <v>1396.4550240000001</v>
      </c>
      <c r="U40" s="322" t="s">
        <v>825</v>
      </c>
      <c r="V40" s="794"/>
      <c r="W40" s="500"/>
      <c r="Y40" s="310" t="s">
        <v>1028</v>
      </c>
      <c r="Z40" s="323" t="s">
        <v>1029</v>
      </c>
      <c r="AA40" s="794">
        <v>8553.9032000000007</v>
      </c>
      <c r="AB40" s="500">
        <v>8069.72</v>
      </c>
      <c r="AC40" s="312">
        <v>6</v>
      </c>
      <c r="AD40" s="323" t="s">
        <v>772</v>
      </c>
      <c r="AE40" s="312">
        <v>11</v>
      </c>
      <c r="AF40" s="313">
        <f t="shared" si="4"/>
        <v>6.6000000000000014</v>
      </c>
      <c r="AJ40" s="918"/>
      <c r="AK40" s="334" t="s">
        <v>1030</v>
      </c>
      <c r="AL40" s="334" t="s">
        <v>1031</v>
      </c>
      <c r="AM40" s="334"/>
      <c r="AP40" s="331" t="s">
        <v>1032</v>
      </c>
      <c r="AQ40" s="311">
        <f>AR40+(POLLUSTOP!$G$43*0.79)</f>
        <v>1577.9</v>
      </c>
      <c r="AR40" s="801">
        <v>1340.9</v>
      </c>
      <c r="AS40" s="498">
        <v>1265</v>
      </c>
      <c r="AU40" s="713" t="s">
        <v>1033</v>
      </c>
      <c r="AV40" s="330"/>
      <c r="AW40" s="325"/>
      <c r="AX40" s="800">
        <v>863.99540000000013</v>
      </c>
      <c r="AY40" s="503">
        <v>815.09</v>
      </c>
      <c r="BB40" s="713"/>
    </row>
    <row r="41" spans="1:68" ht="14.5" customHeight="1" x14ac:dyDescent="0.2">
      <c r="A41" s="322" t="s">
        <v>1034</v>
      </c>
      <c r="B41" s="318" t="s">
        <v>824</v>
      </c>
      <c r="C41" s="318" t="s">
        <v>849</v>
      </c>
      <c r="E41" s="790" t="s">
        <v>171</v>
      </c>
      <c r="F41" s="779">
        <v>633.88</v>
      </c>
      <c r="G41" s="500">
        <v>598</v>
      </c>
      <c r="H41" s="321"/>
      <c r="I41" s="322" t="s">
        <v>1035</v>
      </c>
      <c r="J41" s="779">
        <v>894.02520000000004</v>
      </c>
      <c r="K41" s="500">
        <v>843.42</v>
      </c>
      <c r="M41" s="312">
        <v>1000</v>
      </c>
      <c r="N41" s="311" t="s">
        <v>1036</v>
      </c>
      <c r="O41" s="310"/>
      <c r="Q41" s="369" t="s">
        <v>1037</v>
      </c>
      <c r="R41" s="779">
        <v>1102.1561999999999</v>
      </c>
      <c r="S41" s="500">
        <v>1039.77</v>
      </c>
      <c r="T41" s="310">
        <f t="shared" si="5"/>
        <v>1168.285572</v>
      </c>
      <c r="U41" s="322" t="s">
        <v>350</v>
      </c>
      <c r="V41" s="794"/>
      <c r="W41" s="500"/>
      <c r="Y41" s="310" t="s">
        <v>1038</v>
      </c>
      <c r="Z41" s="323" t="s">
        <v>1039</v>
      </c>
      <c r="AA41" s="794">
        <v>9301.1290000000008</v>
      </c>
      <c r="AB41" s="500">
        <v>8774.65</v>
      </c>
      <c r="AC41" s="312">
        <v>6</v>
      </c>
      <c r="AD41" s="323" t="s">
        <v>772</v>
      </c>
      <c r="AE41" s="312">
        <v>12</v>
      </c>
      <c r="AF41" s="313">
        <f t="shared" si="4"/>
        <v>7.2000000000000011</v>
      </c>
      <c r="AJ41" s="918"/>
      <c r="AK41" s="310" t="s">
        <v>1040</v>
      </c>
      <c r="AL41" s="322" t="s">
        <v>1041</v>
      </c>
      <c r="AM41" s="794">
        <v>226.84</v>
      </c>
      <c r="AN41" s="498">
        <v>214</v>
      </c>
      <c r="AO41" s="504"/>
      <c r="AP41" s="331" t="s">
        <v>1042</v>
      </c>
      <c r="AQ41" s="311">
        <f>AR41+(POLLUSTOP!$G$43*0.79)</f>
        <v>1830.18</v>
      </c>
      <c r="AR41" s="801">
        <v>1593.18</v>
      </c>
      <c r="AS41" s="498">
        <v>1503</v>
      </c>
      <c r="AU41" s="713" t="s">
        <v>1043</v>
      </c>
      <c r="AV41" s="330"/>
      <c r="AW41" s="325"/>
      <c r="AX41" s="800">
        <v>1129.5042000000001</v>
      </c>
      <c r="AY41" s="503">
        <v>1065.57</v>
      </c>
      <c r="BB41" s="713"/>
    </row>
    <row r="42" spans="1:68" ht="14.5" customHeight="1" x14ac:dyDescent="0.2">
      <c r="A42" s="322" t="s">
        <v>1044</v>
      </c>
      <c r="B42" s="318" t="s">
        <v>824</v>
      </c>
      <c r="C42" s="318" t="s">
        <v>849</v>
      </c>
      <c r="E42" s="790" t="s">
        <v>172</v>
      </c>
      <c r="F42" s="779">
        <v>477</v>
      </c>
      <c r="G42" s="500">
        <v>450</v>
      </c>
      <c r="H42" s="321"/>
      <c r="I42" s="322" t="s">
        <v>1045</v>
      </c>
      <c r="J42" s="779">
        <v>1228.01</v>
      </c>
      <c r="K42" s="500">
        <v>1158.5</v>
      </c>
      <c r="M42" s="312">
        <v>1250</v>
      </c>
      <c r="N42" s="311" t="s">
        <v>1036</v>
      </c>
      <c r="Q42" s="369" t="s">
        <v>1046</v>
      </c>
      <c r="R42" s="779">
        <v>1281.1584</v>
      </c>
      <c r="S42" s="500">
        <v>1208.6400000000001</v>
      </c>
      <c r="T42" s="310">
        <f t="shared" si="5"/>
        <v>1358.027904</v>
      </c>
      <c r="U42" s="322"/>
      <c r="V42" s="794"/>
      <c r="W42" s="500"/>
      <c r="Y42" s="310" t="s">
        <v>1047</v>
      </c>
      <c r="Z42" s="323" t="s">
        <v>1048</v>
      </c>
      <c r="AA42" s="794">
        <v>1123.3456000000001</v>
      </c>
      <c r="AB42" s="500">
        <v>1059.76</v>
      </c>
      <c r="AC42" s="312">
        <v>6</v>
      </c>
      <c r="AD42" s="323" t="s">
        <v>774</v>
      </c>
      <c r="AE42" s="312">
        <v>1</v>
      </c>
      <c r="AF42" s="313">
        <f>IF(AD42="S",AC42*#REF!*AE42,AC42*$AD$3*AE42)</f>
        <v>1.2000000000000002</v>
      </c>
      <c r="AJ42" s="918"/>
      <c r="AK42" s="310" t="s">
        <v>1049</v>
      </c>
      <c r="AL42" s="310" t="s">
        <v>1050</v>
      </c>
      <c r="AM42" s="794">
        <v>2.0670000000000002</v>
      </c>
      <c r="AN42" s="498">
        <v>1.95</v>
      </c>
      <c r="AO42" s="504"/>
      <c r="AP42" s="331" t="s">
        <v>1051</v>
      </c>
      <c r="AQ42" s="311">
        <f>AR42+(POLLUSTOP!$G$43*0.79)</f>
        <v>1986</v>
      </c>
      <c r="AR42" s="801">
        <v>1749</v>
      </c>
      <c r="AS42" s="498">
        <v>1650</v>
      </c>
      <c r="AU42" s="713" t="s">
        <v>1052</v>
      </c>
      <c r="AV42" s="330"/>
      <c r="AW42" s="325"/>
      <c r="AX42" s="800">
        <v>699.03820000000007</v>
      </c>
      <c r="AY42" s="503">
        <v>659.47</v>
      </c>
      <c r="BB42" s="713"/>
    </row>
    <row r="43" spans="1:68" ht="14.5" customHeight="1" x14ac:dyDescent="0.2">
      <c r="A43" s="322" t="s">
        <v>1053</v>
      </c>
      <c r="B43" s="318" t="s">
        <v>824</v>
      </c>
      <c r="C43" s="318" t="s">
        <v>849</v>
      </c>
      <c r="E43" s="790" t="s">
        <v>173</v>
      </c>
      <c r="F43" s="779">
        <v>598.9</v>
      </c>
      <c r="G43" s="500">
        <v>565</v>
      </c>
      <c r="H43" s="321"/>
      <c r="I43" s="322" t="s">
        <v>1054</v>
      </c>
      <c r="J43" s="779">
        <v>1241.5038</v>
      </c>
      <c r="K43" s="500">
        <v>1171.23</v>
      </c>
      <c r="M43" s="312">
        <v>1500</v>
      </c>
      <c r="N43" s="311" t="s">
        <v>1036</v>
      </c>
      <c r="Q43" s="369" t="s">
        <v>1055</v>
      </c>
      <c r="R43" s="779">
        <v>1826.7192</v>
      </c>
      <c r="S43" s="500">
        <v>1723.32</v>
      </c>
      <c r="T43" s="310">
        <f t="shared" si="5"/>
        <v>1936.3223520000001</v>
      </c>
      <c r="V43" s="917">
        <v>45658</v>
      </c>
      <c r="W43" s="854">
        <v>45566</v>
      </c>
      <c r="Y43" s="310" t="s">
        <v>1056</v>
      </c>
      <c r="Z43" s="323" t="s">
        <v>1057</v>
      </c>
      <c r="AA43" s="794">
        <v>1913.777</v>
      </c>
      <c r="AB43" s="500">
        <v>1805.45</v>
      </c>
      <c r="AC43" s="312">
        <v>6</v>
      </c>
      <c r="AD43" s="323" t="s">
        <v>774</v>
      </c>
      <c r="AE43" s="312">
        <v>2</v>
      </c>
      <c r="AF43" s="313">
        <f>IF(AD43="S",AC43*#REF!*AE43,AC43*$AD$3*AE43)</f>
        <v>2.4000000000000004</v>
      </c>
      <c r="AJ43" s="918"/>
      <c r="AM43" s="794">
        <v>0</v>
      </c>
      <c r="AN43" s="498">
        <v>0</v>
      </c>
      <c r="AO43" s="504"/>
      <c r="AP43" s="331" t="s">
        <v>1058</v>
      </c>
      <c r="AQ43" s="311">
        <f>AR43+(POLLUSTOP!$G$44*0.79)</f>
        <v>2080.2799999999997</v>
      </c>
      <c r="AR43" s="801">
        <v>2001.28</v>
      </c>
      <c r="AS43" s="498">
        <v>1888</v>
      </c>
      <c r="AU43" s="713" t="s">
        <v>1059</v>
      </c>
      <c r="AV43" s="330"/>
      <c r="AW43" s="325"/>
      <c r="AX43" s="800">
        <v>726.29079999999999</v>
      </c>
      <c r="AY43" s="503">
        <v>685.18</v>
      </c>
      <c r="BB43" s="713"/>
    </row>
    <row r="44" spans="1:68" ht="14.5" customHeight="1" x14ac:dyDescent="0.2">
      <c r="A44" s="322" t="s">
        <v>1060</v>
      </c>
      <c r="B44" s="318" t="s">
        <v>824</v>
      </c>
      <c r="C44" s="318" t="s">
        <v>849</v>
      </c>
      <c r="E44" s="790" t="s">
        <v>174</v>
      </c>
      <c r="F44" s="779">
        <v>424</v>
      </c>
      <c r="G44" s="500">
        <v>400</v>
      </c>
      <c r="H44" s="321"/>
      <c r="I44" s="322" t="s">
        <v>1061</v>
      </c>
      <c r="J44" s="779">
        <v>1332.6002000000001</v>
      </c>
      <c r="K44" s="500">
        <v>1257.17</v>
      </c>
      <c r="M44" s="312">
        <v>1750</v>
      </c>
      <c r="N44" s="311" t="s">
        <v>1062</v>
      </c>
      <c r="Q44" s="369" t="s">
        <v>1063</v>
      </c>
      <c r="R44" s="779">
        <v>1875.5216</v>
      </c>
      <c r="S44" s="500">
        <v>1769.36</v>
      </c>
      <c r="T44" s="310">
        <f t="shared" si="5"/>
        <v>1988.0528960000001</v>
      </c>
      <c r="U44" s="332" t="s">
        <v>332</v>
      </c>
      <c r="V44" s="332"/>
      <c r="W44" s="332"/>
      <c r="Y44" s="310" t="s">
        <v>1064</v>
      </c>
      <c r="Z44" s="323" t="s">
        <v>1065</v>
      </c>
      <c r="AA44" s="794">
        <v>2704.2084</v>
      </c>
      <c r="AB44" s="500">
        <v>2551.14</v>
      </c>
      <c r="AC44" s="312">
        <v>6</v>
      </c>
      <c r="AD44" s="323" t="s">
        <v>774</v>
      </c>
      <c r="AE44" s="312">
        <v>3</v>
      </c>
      <c r="AF44" s="313">
        <f>IF(AD44="S",AC44*#REF!*AE44,AC44*$AD$3*AE44)</f>
        <v>3.6000000000000005</v>
      </c>
      <c r="AJ44" s="918"/>
      <c r="AK44" s="322" t="s">
        <v>1066</v>
      </c>
      <c r="AL44" s="310" t="s">
        <v>1050</v>
      </c>
      <c r="AM44" s="794">
        <v>7.2292000000000014</v>
      </c>
      <c r="AN44" s="498">
        <v>6.82</v>
      </c>
      <c r="AO44" s="504"/>
      <c r="AP44" s="322"/>
      <c r="AU44" s="713" t="s">
        <v>1067</v>
      </c>
      <c r="AV44" s="330"/>
      <c r="AW44" s="325"/>
      <c r="AX44" s="800">
        <v>737.72820000000002</v>
      </c>
      <c r="AY44" s="503">
        <v>695.97</v>
      </c>
      <c r="BB44" s="713"/>
    </row>
    <row r="45" spans="1:68" ht="14.5" customHeight="1" x14ac:dyDescent="0.2">
      <c r="A45" s="322" t="s">
        <v>1068</v>
      </c>
      <c r="B45" s="318" t="s">
        <v>824</v>
      </c>
      <c r="C45" s="318" t="s">
        <v>849</v>
      </c>
      <c r="E45" s="790" t="s">
        <v>175</v>
      </c>
      <c r="F45" s="779">
        <v>672.04000000000008</v>
      </c>
      <c r="G45" s="500">
        <v>634</v>
      </c>
      <c r="H45" s="321"/>
      <c r="M45" s="312">
        <v>2000</v>
      </c>
      <c r="N45" s="311" t="s">
        <v>1062</v>
      </c>
      <c r="Q45" s="369" t="s">
        <v>1069</v>
      </c>
      <c r="R45" s="779">
        <v>2131.4162000000001</v>
      </c>
      <c r="S45" s="500">
        <v>2010.77</v>
      </c>
      <c r="T45" s="310">
        <f t="shared" si="5"/>
        <v>2259.3011720000004</v>
      </c>
      <c r="U45" s="322" t="s">
        <v>1070</v>
      </c>
      <c r="V45" s="801">
        <v>700</v>
      </c>
      <c r="W45" s="498">
        <v>700</v>
      </c>
      <c r="Y45" s="310" t="s">
        <v>1071</v>
      </c>
      <c r="Z45" s="323" t="s">
        <v>1072</v>
      </c>
      <c r="AA45" s="794">
        <v>3494.6397999999999</v>
      </c>
      <c r="AB45" s="500">
        <v>3296.83</v>
      </c>
      <c r="AC45" s="312">
        <v>6</v>
      </c>
      <c r="AD45" s="323" t="s">
        <v>774</v>
      </c>
      <c r="AE45" s="312">
        <v>4</v>
      </c>
      <c r="AF45" s="313">
        <f>IF(AD45="S",AC45*#REF!*AE45,AC45*$AD$3*AE45)</f>
        <v>4.8000000000000007</v>
      </c>
      <c r="AJ45" s="918"/>
      <c r="AK45" s="322" t="s">
        <v>1073</v>
      </c>
      <c r="AL45" s="322" t="s">
        <v>1050</v>
      </c>
      <c r="AM45" s="794">
        <v>136.83539999999999</v>
      </c>
      <c r="AN45" s="498">
        <v>129.09</v>
      </c>
      <c r="AO45" s="504"/>
      <c r="AP45" s="340" t="s">
        <v>646</v>
      </c>
      <c r="AQ45" s="334"/>
      <c r="AR45" s="334"/>
      <c r="AS45" s="334"/>
      <c r="AU45" s="713" t="s">
        <v>1074</v>
      </c>
      <c r="AV45" s="330"/>
      <c r="AW45" s="325"/>
      <c r="AX45" s="800">
        <v>779.4498000000001</v>
      </c>
      <c r="AY45" s="503">
        <v>735.33</v>
      </c>
      <c r="BB45" s="713"/>
    </row>
    <row r="46" spans="1:68" ht="14.5" customHeight="1" x14ac:dyDescent="0.2">
      <c r="A46" s="322" t="s">
        <v>1075</v>
      </c>
      <c r="B46" s="318" t="s">
        <v>824</v>
      </c>
      <c r="C46" s="318" t="s">
        <v>849</v>
      </c>
      <c r="E46" s="790" t="s">
        <v>176</v>
      </c>
      <c r="F46" s="779">
        <v>598.9</v>
      </c>
      <c r="G46" s="500">
        <v>565</v>
      </c>
      <c r="H46" s="321"/>
      <c r="M46" s="312">
        <v>2250</v>
      </c>
      <c r="N46" s="311" t="s">
        <v>1062</v>
      </c>
      <c r="S46" s="311"/>
      <c r="U46" s="322" t="s">
        <v>347</v>
      </c>
      <c r="V46" s="801">
        <v>930</v>
      </c>
      <c r="W46" s="498">
        <v>930</v>
      </c>
      <c r="Y46" s="310" t="s">
        <v>1076</v>
      </c>
      <c r="Z46" s="323" t="s">
        <v>1077</v>
      </c>
      <c r="AA46" s="794">
        <v>4285.0712000000003</v>
      </c>
      <c r="AB46" s="500">
        <v>4042.52</v>
      </c>
      <c r="AC46" s="312">
        <v>6</v>
      </c>
      <c r="AD46" s="323" t="s">
        <v>774</v>
      </c>
      <c r="AE46" s="312">
        <v>5</v>
      </c>
      <c r="AF46" s="313">
        <f>IF(AD46="S",AC46*#REF!*AE46,AC46*$AD$3*AE46)</f>
        <v>6.0000000000000009</v>
      </c>
      <c r="AJ46" s="918"/>
      <c r="AK46" s="310" t="s">
        <v>1078</v>
      </c>
      <c r="AL46" s="322" t="s">
        <v>1079</v>
      </c>
      <c r="AM46" s="794">
        <v>409.22359999999998</v>
      </c>
      <c r="AN46" s="498">
        <v>386.06</v>
      </c>
      <c r="AO46" s="504"/>
      <c r="AP46" s="331" t="s">
        <v>374</v>
      </c>
      <c r="AQ46" s="311">
        <v>0</v>
      </c>
      <c r="AR46" s="781"/>
      <c r="AS46" s="781"/>
      <c r="AU46" s="713" t="s">
        <v>1074</v>
      </c>
      <c r="AV46" s="330"/>
      <c r="AW46" s="325"/>
      <c r="AX46" s="800">
        <v>906.87239999999997</v>
      </c>
      <c r="AY46" s="503">
        <v>855.54</v>
      </c>
      <c r="BB46" s="713"/>
    </row>
    <row r="47" spans="1:68" ht="14.5" customHeight="1" x14ac:dyDescent="0.2">
      <c r="A47" s="322" t="s">
        <v>1080</v>
      </c>
      <c r="B47" s="318" t="s">
        <v>824</v>
      </c>
      <c r="C47" s="318" t="s">
        <v>849</v>
      </c>
      <c r="E47" s="790" t="s">
        <v>177</v>
      </c>
      <c r="F47" s="779">
        <v>408.1</v>
      </c>
      <c r="G47" s="500">
        <v>385</v>
      </c>
      <c r="H47" s="321"/>
      <c r="M47" s="312">
        <v>2500</v>
      </c>
      <c r="N47" s="311" t="s">
        <v>1081</v>
      </c>
      <c r="S47" s="311"/>
      <c r="U47" s="322" t="s">
        <v>1082</v>
      </c>
      <c r="V47" s="801">
        <v>1250</v>
      </c>
      <c r="W47" s="498">
        <v>1250</v>
      </c>
      <c r="Y47" s="310" t="s">
        <v>1083</v>
      </c>
      <c r="Z47" s="323" t="s">
        <v>1084</v>
      </c>
      <c r="AA47" s="794">
        <v>5075.5026000000007</v>
      </c>
      <c r="AB47" s="500">
        <v>4788.21</v>
      </c>
      <c r="AC47" s="312">
        <v>6</v>
      </c>
      <c r="AD47" s="323" t="s">
        <v>774</v>
      </c>
      <c r="AE47" s="312">
        <v>6</v>
      </c>
      <c r="AF47" s="313">
        <f>IF(AD47="S",AC47*#REF!*AE47,AC47*$AD$3*AE47)</f>
        <v>7.2000000000000011</v>
      </c>
      <c r="AJ47" s="918"/>
      <c r="AK47" s="310" t="s">
        <v>1085</v>
      </c>
      <c r="AL47" s="310" t="s">
        <v>1086</v>
      </c>
      <c r="AM47" s="794">
        <v>298.32639999999998</v>
      </c>
      <c r="AN47" s="498">
        <v>281.44</v>
      </c>
      <c r="AO47" s="504"/>
      <c r="AP47" s="331" t="s">
        <v>1087</v>
      </c>
      <c r="AQ47" s="311">
        <f>(POLLUSTOP!$G$39*0.6)+AR47</f>
        <v>1915.34</v>
      </c>
      <c r="AR47" s="801">
        <v>984.74</v>
      </c>
      <c r="AS47" s="498">
        <v>929</v>
      </c>
      <c r="AU47" s="713" t="s">
        <v>1088</v>
      </c>
      <c r="AV47" s="330"/>
      <c r="AW47" s="325"/>
      <c r="AX47" s="800">
        <v>969.84700000000009</v>
      </c>
      <c r="AY47" s="503">
        <v>914.95</v>
      </c>
      <c r="BB47" s="713"/>
    </row>
    <row r="48" spans="1:68" ht="14.5" customHeight="1" x14ac:dyDescent="0.2">
      <c r="A48" s="322" t="s">
        <v>1089</v>
      </c>
      <c r="B48" s="318" t="s">
        <v>824</v>
      </c>
      <c r="C48" s="318" t="s">
        <v>849</v>
      </c>
      <c r="E48" s="790" t="s">
        <v>178</v>
      </c>
      <c r="F48" s="779">
        <v>455.8</v>
      </c>
      <c r="G48" s="500">
        <v>430</v>
      </c>
      <c r="H48" s="321"/>
      <c r="M48" s="312">
        <v>2750</v>
      </c>
      <c r="N48" s="311" t="s">
        <v>1081</v>
      </c>
      <c r="Q48" s="332" t="s">
        <v>1090</v>
      </c>
      <c r="R48" s="332">
        <v>0</v>
      </c>
      <c r="S48" s="332">
        <v>0</v>
      </c>
      <c r="U48" s="322" t="s">
        <v>353</v>
      </c>
      <c r="V48" s="801">
        <v>1480</v>
      </c>
      <c r="W48" s="498">
        <v>1480</v>
      </c>
      <c r="Y48" s="310" t="s">
        <v>1091</v>
      </c>
      <c r="Z48" s="323" t="s">
        <v>1092</v>
      </c>
      <c r="AA48" s="794">
        <v>5865.9340000000002</v>
      </c>
      <c r="AB48" s="500">
        <v>5533.9</v>
      </c>
      <c r="AC48" s="312">
        <v>6</v>
      </c>
      <c r="AD48" s="323" t="s">
        <v>774</v>
      </c>
      <c r="AE48" s="312">
        <v>7</v>
      </c>
      <c r="AF48" s="313">
        <f>IF(AD48="S",AC48*#REF!*AE48,AC48*$AD$3*AE48)</f>
        <v>8.4000000000000021</v>
      </c>
      <c r="AJ48" s="918"/>
      <c r="AK48" s="310" t="s">
        <v>1093</v>
      </c>
      <c r="AL48" s="310" t="s">
        <v>1094</v>
      </c>
      <c r="AM48" s="794">
        <v>333.63499999999999</v>
      </c>
      <c r="AN48" s="498">
        <v>314.75</v>
      </c>
      <c r="AO48" s="504"/>
      <c r="AP48" s="331" t="s">
        <v>1095</v>
      </c>
      <c r="AQ48" s="311">
        <f>AR48+(POLLUSTOP!$G$40*0.6)</f>
        <v>1725.0800000000002</v>
      </c>
      <c r="AR48" s="801">
        <v>1375.88</v>
      </c>
      <c r="AS48" s="498">
        <v>1298</v>
      </c>
      <c r="AU48" s="713" t="s">
        <v>1096</v>
      </c>
      <c r="AV48" s="330"/>
      <c r="AW48" s="325"/>
      <c r="AX48" s="800">
        <v>1235.3558</v>
      </c>
      <c r="AY48" s="503">
        <v>1165.43</v>
      </c>
      <c r="BB48" s="713"/>
    </row>
    <row r="49" spans="1:53" ht="14.5" customHeight="1" x14ac:dyDescent="0.15">
      <c r="A49" s="322" t="s">
        <v>1097</v>
      </c>
      <c r="B49" s="318" t="s">
        <v>814</v>
      </c>
      <c r="C49" s="318" t="s">
        <v>849</v>
      </c>
      <c r="E49" s="790" t="s">
        <v>179</v>
      </c>
      <c r="F49" s="779">
        <v>651.9</v>
      </c>
      <c r="G49" s="500">
        <v>615</v>
      </c>
      <c r="H49" s="321"/>
      <c r="M49" s="312">
        <v>3000</v>
      </c>
      <c r="N49" s="311" t="s">
        <v>1081</v>
      </c>
      <c r="Q49" s="322" t="s">
        <v>1098</v>
      </c>
      <c r="S49" s="311"/>
      <c r="U49" s="322" t="s">
        <v>1099</v>
      </c>
      <c r="V49" s="801">
        <v>1800</v>
      </c>
      <c r="W49" s="498">
        <v>1800</v>
      </c>
      <c r="Y49" s="310" t="s">
        <v>1100</v>
      </c>
      <c r="Z49" s="323" t="s">
        <v>1101</v>
      </c>
      <c r="AA49" s="794">
        <v>6656.3654000000006</v>
      </c>
      <c r="AB49" s="500">
        <v>6279.59</v>
      </c>
      <c r="AC49" s="312">
        <v>6</v>
      </c>
      <c r="AD49" s="323" t="s">
        <v>774</v>
      </c>
      <c r="AE49" s="312">
        <v>8</v>
      </c>
      <c r="AF49" s="313">
        <f>IF(AD49="S",AC49*#REF!*AE49,AC49*$AD$3*AE49)</f>
        <v>9.6000000000000014</v>
      </c>
      <c r="AJ49" s="918"/>
      <c r="AP49" s="331" t="s">
        <v>1102</v>
      </c>
      <c r="AQ49" s="311">
        <f>AR49+(POLLUSTOP!$G$41*0.6)</f>
        <v>1770.2</v>
      </c>
      <c r="AR49" s="801">
        <v>1770.2</v>
      </c>
      <c r="AS49" s="498">
        <v>1670</v>
      </c>
      <c r="AU49" s="407"/>
      <c r="AV49" s="330"/>
      <c r="AW49" s="325"/>
      <c r="AX49" s="709"/>
    </row>
    <row r="50" spans="1:53" ht="14.5" customHeight="1" x14ac:dyDescent="0.15">
      <c r="A50" s="322" t="s">
        <v>1103</v>
      </c>
      <c r="B50" s="318" t="s">
        <v>814</v>
      </c>
      <c r="C50" s="318" t="s">
        <v>849</v>
      </c>
      <c r="E50" s="790" t="s">
        <v>180</v>
      </c>
      <c r="F50" s="779">
        <v>344.5</v>
      </c>
      <c r="G50" s="500">
        <v>325</v>
      </c>
      <c r="H50" s="321"/>
      <c r="U50" s="322" t="s">
        <v>356</v>
      </c>
      <c r="V50" s="801">
        <v>2160</v>
      </c>
      <c r="W50" s="498">
        <v>2160</v>
      </c>
      <c r="Y50" s="322" t="s">
        <v>1104</v>
      </c>
      <c r="Z50" s="323" t="s">
        <v>1105</v>
      </c>
      <c r="AA50" s="794">
        <v>7446.7968000000001</v>
      </c>
      <c r="AB50" s="500">
        <v>7025.28</v>
      </c>
      <c r="AC50" s="312">
        <v>6</v>
      </c>
      <c r="AD50" s="323" t="s">
        <v>774</v>
      </c>
      <c r="AE50" s="312">
        <v>9</v>
      </c>
      <c r="AF50" s="313">
        <f>IF(AD50="S",AC50*#REF!*AE50,AC50*$AD$3*AE50)</f>
        <v>10.8</v>
      </c>
      <c r="AJ50" s="918"/>
      <c r="AP50" s="331" t="s">
        <v>1106</v>
      </c>
      <c r="AQ50" s="311">
        <f>AR50+(POLLUSTOP!$G$41*0.6)</f>
        <v>1965.24</v>
      </c>
      <c r="AR50" s="801">
        <v>1965.24</v>
      </c>
      <c r="AS50" s="498">
        <v>1854</v>
      </c>
      <c r="AU50" s="407" t="s">
        <v>1107</v>
      </c>
      <c r="AV50" s="330"/>
      <c r="AW50" s="325"/>
      <c r="AX50" s="927">
        <v>151.72839999999999</v>
      </c>
      <c r="AY50" s="503">
        <v>143.13999999999999</v>
      </c>
    </row>
    <row r="51" spans="1:53" ht="14.5" customHeight="1" x14ac:dyDescent="0.15">
      <c r="A51" s="322" t="s">
        <v>1108</v>
      </c>
      <c r="B51" s="318" t="s">
        <v>795</v>
      </c>
      <c r="C51" s="318" t="s">
        <v>856</v>
      </c>
      <c r="E51" s="790" t="s">
        <v>181</v>
      </c>
      <c r="F51" s="779">
        <v>673.1</v>
      </c>
      <c r="G51" s="500">
        <v>635</v>
      </c>
      <c r="H51" s="321"/>
      <c r="U51" s="322" t="s">
        <v>1109</v>
      </c>
      <c r="V51" s="801">
        <v>2100</v>
      </c>
      <c r="W51" s="498">
        <v>2100</v>
      </c>
      <c r="Y51" s="310" t="s">
        <v>1110</v>
      </c>
      <c r="Z51" s="323" t="s">
        <v>1111</v>
      </c>
      <c r="AA51" s="794">
        <v>8237.2282000000014</v>
      </c>
      <c r="AB51" s="500">
        <v>7770.97</v>
      </c>
      <c r="AC51" s="312">
        <v>6</v>
      </c>
      <c r="AD51" s="323" t="s">
        <v>774</v>
      </c>
      <c r="AE51" s="312">
        <v>10</v>
      </c>
      <c r="AF51" s="313">
        <f>IF(AD51="S",AC51*#REF!*AE51,AC51*$AD$3*AE51)</f>
        <v>12.000000000000002</v>
      </c>
      <c r="AJ51" s="918"/>
      <c r="AK51" s="334" t="s">
        <v>1030</v>
      </c>
      <c r="AL51" s="334" t="s">
        <v>1031</v>
      </c>
      <c r="AM51" s="334"/>
      <c r="AP51" s="331" t="s">
        <v>1112</v>
      </c>
      <c r="AQ51" s="311">
        <f>AR51+(POLLUSTOP!$G$42*0.6)</f>
        <v>2354.2600000000002</v>
      </c>
      <c r="AR51" s="801">
        <v>2354.2600000000002</v>
      </c>
      <c r="AS51" s="498">
        <v>2221</v>
      </c>
      <c r="AU51" s="325"/>
      <c r="AV51" s="1010"/>
      <c r="AW51" s="1006"/>
      <c r="AX51" s="927"/>
    </row>
    <row r="52" spans="1:53" ht="14.5" customHeight="1" x14ac:dyDescent="0.15">
      <c r="A52" s="322" t="s">
        <v>1113</v>
      </c>
      <c r="B52" s="318" t="s">
        <v>795</v>
      </c>
      <c r="C52" s="318" t="s">
        <v>856</v>
      </c>
      <c r="E52" s="790" t="s">
        <v>182</v>
      </c>
      <c r="F52" s="779">
        <v>1113</v>
      </c>
      <c r="G52" s="500">
        <v>1050</v>
      </c>
      <c r="H52" s="321"/>
      <c r="U52" s="322" t="s">
        <v>359</v>
      </c>
      <c r="V52" s="801">
        <v>2460</v>
      </c>
      <c r="W52" s="498">
        <v>2460</v>
      </c>
      <c r="Y52" s="310" t="s">
        <v>1114</v>
      </c>
      <c r="Z52" s="323" t="s">
        <v>1115</v>
      </c>
      <c r="AA52" s="794">
        <v>9027.6596000000009</v>
      </c>
      <c r="AB52" s="500">
        <v>8516.66</v>
      </c>
      <c r="AC52" s="312">
        <v>6</v>
      </c>
      <c r="AD52" s="323" t="s">
        <v>774</v>
      </c>
      <c r="AE52" s="312">
        <v>11</v>
      </c>
      <c r="AF52" s="313">
        <f>IF(AD52="S",AC52*#REF!*AE52,AC52*$AD$3*AE52)</f>
        <v>13.200000000000003</v>
      </c>
      <c r="AJ52" s="918"/>
      <c r="AM52" s="777"/>
      <c r="AN52" s="498">
        <v>243.96</v>
      </c>
      <c r="AO52" s="504"/>
      <c r="AP52" s="331" t="s">
        <v>1116</v>
      </c>
      <c r="AQ52" s="311">
        <f>AR52+(POLLUSTOP!$G$42*0.6)</f>
        <v>2540.8200000000002</v>
      </c>
      <c r="AR52" s="801">
        <v>2540.8200000000002</v>
      </c>
      <c r="AS52" s="498">
        <v>2397</v>
      </c>
      <c r="AU52" s="325" t="s">
        <v>1117</v>
      </c>
      <c r="AV52" s="1005" t="s">
        <v>1118</v>
      </c>
      <c r="AW52" s="1006"/>
      <c r="AX52" s="927">
        <v>0</v>
      </c>
      <c r="AY52" s="503">
        <v>0</v>
      </c>
      <c r="AZ52" s="322" t="s">
        <v>1119</v>
      </c>
    </row>
    <row r="53" spans="1:53" ht="14.5" customHeight="1" x14ac:dyDescent="0.15">
      <c r="A53" s="322" t="s">
        <v>1120</v>
      </c>
      <c r="B53" s="318" t="s">
        <v>842</v>
      </c>
      <c r="C53" s="318" t="s">
        <v>856</v>
      </c>
      <c r="E53" s="790" t="s">
        <v>183</v>
      </c>
      <c r="F53" s="779">
        <v>890.40000000000009</v>
      </c>
      <c r="G53" s="500">
        <v>840</v>
      </c>
      <c r="H53" s="321"/>
      <c r="U53" s="322" t="s">
        <v>1121</v>
      </c>
      <c r="V53" s="801">
        <v>2550</v>
      </c>
      <c r="W53" s="498">
        <v>2550</v>
      </c>
      <c r="Y53" s="310" t="s">
        <v>1122</v>
      </c>
      <c r="Z53" s="323" t="s">
        <v>1123</v>
      </c>
      <c r="AA53" s="794">
        <v>9818.0910000000003</v>
      </c>
      <c r="AB53" s="500">
        <v>9262.35</v>
      </c>
      <c r="AC53" s="312">
        <v>6</v>
      </c>
      <c r="AD53" s="323" t="s">
        <v>774</v>
      </c>
      <c r="AE53" s="312">
        <v>12</v>
      </c>
      <c r="AF53" s="313">
        <f>IF(AD53="S",AC53*#REF!*AE53,AC53*$AD$3*AE53)</f>
        <v>14.400000000000002</v>
      </c>
      <c r="AJ53" s="918"/>
      <c r="AM53" s="777"/>
      <c r="AN53" s="498">
        <v>0</v>
      </c>
      <c r="AO53" s="504"/>
      <c r="AP53" s="331" t="s">
        <v>1124</v>
      </c>
      <c r="AQ53" s="311">
        <f>AR53+(POLLUSTOP!$G$43*0.6)</f>
        <v>3252.94</v>
      </c>
      <c r="AR53" s="801">
        <v>3072.94</v>
      </c>
      <c r="AS53" s="498">
        <v>2899</v>
      </c>
      <c r="AU53" s="325" t="s">
        <v>1125</v>
      </c>
      <c r="AV53" s="330"/>
      <c r="AW53" s="325"/>
      <c r="AX53" s="927">
        <f>AY53*1.06</f>
        <v>38.213000000000001</v>
      </c>
      <c r="AY53" s="503">
        <v>36.049999999999997</v>
      </c>
    </row>
    <row r="54" spans="1:53" ht="14.5" customHeight="1" x14ac:dyDescent="0.15">
      <c r="A54" s="322" t="s">
        <v>849</v>
      </c>
      <c r="B54" s="818" t="s">
        <v>849</v>
      </c>
      <c r="E54" s="790" t="s">
        <v>1126</v>
      </c>
      <c r="F54" s="779">
        <v>371</v>
      </c>
      <c r="G54" s="500">
        <v>350</v>
      </c>
      <c r="H54" s="321"/>
      <c r="U54" s="322" t="s">
        <v>362</v>
      </c>
      <c r="V54" s="801">
        <v>3230</v>
      </c>
      <c r="W54" s="498">
        <v>3230</v>
      </c>
      <c r="Y54" s="310" t="s">
        <v>1127</v>
      </c>
      <c r="Z54" s="323" t="s">
        <v>1128</v>
      </c>
      <c r="AA54" s="794">
        <v>1231.0204000000001</v>
      </c>
      <c r="AB54" s="500">
        <v>1161.3399999999999</v>
      </c>
      <c r="AC54" s="312">
        <v>8</v>
      </c>
      <c r="AD54" s="323" t="s">
        <v>772</v>
      </c>
      <c r="AE54" s="312">
        <v>1</v>
      </c>
      <c r="AF54" s="313">
        <f t="shared" ref="AF54:AF65" si="6">IF(AD54="S",AC54*$AD$1*AE54,AC54*$AD$3*AE54)</f>
        <v>0.8</v>
      </c>
      <c r="AJ54" s="918"/>
      <c r="AM54" s="777"/>
      <c r="AN54" s="498">
        <v>271.77999999999997</v>
      </c>
      <c r="AO54" s="504"/>
      <c r="AP54" s="331" t="s">
        <v>1129</v>
      </c>
      <c r="AQ54" s="311">
        <f>AR54+(POLLUSTOP!$G$43*0.6)</f>
        <v>3520.06</v>
      </c>
      <c r="AR54" s="801">
        <v>3340.06</v>
      </c>
      <c r="AS54" s="498">
        <v>3151</v>
      </c>
      <c r="AU54" s="407" t="s">
        <v>1130</v>
      </c>
      <c r="AV54" s="330"/>
      <c r="AW54" s="325"/>
      <c r="AX54" s="709"/>
    </row>
    <row r="55" spans="1:53" ht="14.5" customHeight="1" x14ac:dyDescent="0.15">
      <c r="E55" s="790" t="s">
        <v>184</v>
      </c>
      <c r="F55" s="779">
        <v>540.6</v>
      </c>
      <c r="G55" s="500">
        <v>510</v>
      </c>
      <c r="H55" s="321"/>
      <c r="U55" s="322" t="s">
        <v>1131</v>
      </c>
      <c r="V55" s="801">
        <v>2550</v>
      </c>
      <c r="W55" s="498">
        <v>2550</v>
      </c>
      <c r="Y55" s="310" t="s">
        <v>1132</v>
      </c>
      <c r="Z55" s="323" t="s">
        <v>1133</v>
      </c>
      <c r="AA55" s="794">
        <v>2129.1266000000001</v>
      </c>
      <c r="AB55" s="500">
        <v>2008.61</v>
      </c>
      <c r="AC55" s="312">
        <v>8</v>
      </c>
      <c r="AD55" s="323" t="s">
        <v>772</v>
      </c>
      <c r="AE55" s="312">
        <v>2</v>
      </c>
      <c r="AF55" s="313">
        <f t="shared" si="6"/>
        <v>1.6</v>
      </c>
      <c r="AJ55" s="918"/>
      <c r="AM55" s="777"/>
      <c r="AN55" s="498">
        <v>118.77</v>
      </c>
      <c r="AO55" s="504"/>
      <c r="AP55" s="331" t="s">
        <v>1134</v>
      </c>
      <c r="AQ55" s="311">
        <f>AR55+(POLLUSTOP!$G$43*0.6)</f>
        <v>3961.02</v>
      </c>
      <c r="AR55" s="801">
        <v>3781.02</v>
      </c>
      <c r="AS55" s="498">
        <v>3567</v>
      </c>
      <c r="AU55" s="407"/>
      <c r="AV55" s="330"/>
      <c r="AW55" s="325"/>
      <c r="AX55" s="709"/>
    </row>
    <row r="56" spans="1:53" ht="14.5" customHeight="1" x14ac:dyDescent="0.2">
      <c r="A56" s="322"/>
      <c r="B56" s="318"/>
      <c r="C56" s="318"/>
      <c r="E56" s="790" t="s">
        <v>185</v>
      </c>
      <c r="F56" s="779">
        <v>890.40000000000009</v>
      </c>
      <c r="G56" s="500">
        <v>840</v>
      </c>
      <c r="H56" s="321"/>
      <c r="U56" s="322" t="s">
        <v>365</v>
      </c>
      <c r="V56" s="801">
        <v>3230</v>
      </c>
      <c r="W56" s="498">
        <v>3230</v>
      </c>
      <c r="Y56" s="310" t="s">
        <v>1135</v>
      </c>
      <c r="Z56" s="323" t="s">
        <v>1136</v>
      </c>
      <c r="AA56" s="794">
        <v>3027.2328000000002</v>
      </c>
      <c r="AB56" s="500">
        <v>2855.88</v>
      </c>
      <c r="AC56" s="312">
        <v>8</v>
      </c>
      <c r="AD56" s="323" t="s">
        <v>772</v>
      </c>
      <c r="AE56" s="312">
        <v>3</v>
      </c>
      <c r="AF56" s="313">
        <f t="shared" si="6"/>
        <v>2.4000000000000004</v>
      </c>
      <c r="AJ56" s="918"/>
      <c r="AM56" s="777"/>
      <c r="AN56" s="498">
        <v>0</v>
      </c>
      <c r="AO56" s="504"/>
      <c r="AP56" s="331" t="s">
        <v>1137</v>
      </c>
      <c r="AQ56" s="311">
        <f>AR56+(POLLUSTOP!$G$44*0.6)</f>
        <v>4245.9400000000014</v>
      </c>
      <c r="AR56" s="801">
        <v>4185.9400000000014</v>
      </c>
      <c r="AS56" s="498">
        <v>3949</v>
      </c>
      <c r="AU56" s="137" t="s">
        <v>1138</v>
      </c>
      <c r="AV56" s="330"/>
      <c r="AW56" s="325"/>
      <c r="AX56" s="800">
        <v>97.1066</v>
      </c>
      <c r="AY56" s="503">
        <v>91.61</v>
      </c>
    </row>
    <row r="57" spans="1:53" ht="14.5" customHeight="1" x14ac:dyDescent="0.2">
      <c r="A57" s="322"/>
      <c r="B57" s="318"/>
      <c r="C57" s="318"/>
      <c r="E57" s="790" t="s">
        <v>186</v>
      </c>
      <c r="F57" s="779">
        <v>556.5</v>
      </c>
      <c r="G57" s="500">
        <v>525</v>
      </c>
      <c r="H57" s="321"/>
      <c r="U57" s="322"/>
      <c r="Y57" s="310" t="s">
        <v>1139</v>
      </c>
      <c r="Z57" s="323" t="s">
        <v>1140</v>
      </c>
      <c r="AA57" s="794">
        <v>3925.3389999999999</v>
      </c>
      <c r="AB57" s="500">
        <v>3703.15</v>
      </c>
      <c r="AC57" s="312">
        <v>8</v>
      </c>
      <c r="AD57" s="323" t="s">
        <v>772</v>
      </c>
      <c r="AE57" s="312">
        <v>4</v>
      </c>
      <c r="AF57" s="313">
        <f t="shared" si="6"/>
        <v>3.2</v>
      </c>
      <c r="AJ57" s="918"/>
      <c r="AM57" s="777"/>
      <c r="AN57" s="498">
        <v>0</v>
      </c>
      <c r="AO57" s="504"/>
      <c r="AP57" s="322"/>
      <c r="AU57" s="137" t="s">
        <v>1141</v>
      </c>
      <c r="AV57" s="330"/>
      <c r="AW57" s="325"/>
      <c r="AX57" s="800">
        <v>108.226</v>
      </c>
      <c r="AY57" s="503">
        <v>102.1</v>
      </c>
    </row>
    <row r="58" spans="1:53" ht="14.5" customHeight="1" x14ac:dyDescent="0.2">
      <c r="A58" s="322"/>
      <c r="B58" s="318"/>
      <c r="C58" s="318"/>
      <c r="E58" s="790" t="s">
        <v>187</v>
      </c>
      <c r="F58" s="779">
        <v>540.6</v>
      </c>
      <c r="G58" s="500">
        <v>510</v>
      </c>
      <c r="H58" s="321"/>
      <c r="Y58" s="310" t="s">
        <v>1142</v>
      </c>
      <c r="Z58" s="323" t="s">
        <v>1143</v>
      </c>
      <c r="AA58" s="794">
        <v>4823.4452000000001</v>
      </c>
      <c r="AB58" s="500">
        <v>4550.42</v>
      </c>
      <c r="AC58" s="312">
        <v>8</v>
      </c>
      <c r="AD58" s="323" t="s">
        <v>772</v>
      </c>
      <c r="AE58" s="312">
        <v>5</v>
      </c>
      <c r="AF58" s="313">
        <f t="shared" si="6"/>
        <v>4</v>
      </c>
      <c r="AJ58" s="918"/>
      <c r="AK58" s="334" t="s">
        <v>1144</v>
      </c>
      <c r="AL58" s="333"/>
      <c r="AM58" s="334"/>
      <c r="AP58" s="340" t="s">
        <v>583</v>
      </c>
      <c r="AQ58" s="334"/>
      <c r="AR58" s="334"/>
      <c r="AS58" s="334"/>
      <c r="AU58" s="137" t="s">
        <v>1145</v>
      </c>
      <c r="AV58" s="330"/>
      <c r="AW58" s="325"/>
      <c r="AX58" s="800">
        <v>102.3006</v>
      </c>
      <c r="AY58" s="503">
        <v>96.51</v>
      </c>
    </row>
    <row r="59" spans="1:53" ht="14.5" customHeight="1" x14ac:dyDescent="0.2">
      <c r="A59" s="322"/>
      <c r="B59" s="318"/>
      <c r="C59" s="318"/>
      <c r="E59" s="790" t="s">
        <v>188</v>
      </c>
      <c r="F59" s="779">
        <v>424</v>
      </c>
      <c r="G59" s="501">
        <v>400</v>
      </c>
      <c r="H59" s="321"/>
      <c r="Y59" s="310" t="s">
        <v>1146</v>
      </c>
      <c r="Z59" s="323" t="s">
        <v>1147</v>
      </c>
      <c r="AA59" s="794">
        <v>5721.5514000000003</v>
      </c>
      <c r="AB59" s="500">
        <v>5397.69</v>
      </c>
      <c r="AC59" s="312">
        <v>8</v>
      </c>
      <c r="AD59" s="323" t="s">
        <v>772</v>
      </c>
      <c r="AE59" s="312">
        <v>6</v>
      </c>
      <c r="AF59" s="313">
        <f t="shared" si="6"/>
        <v>4.8000000000000007</v>
      </c>
      <c r="AJ59" s="918"/>
      <c r="AK59" s="310" t="s">
        <v>1148</v>
      </c>
      <c r="AL59" s="310" t="s">
        <v>1149</v>
      </c>
      <c r="AM59" s="779">
        <v>387.96</v>
      </c>
      <c r="AN59" s="498">
        <v>366</v>
      </c>
      <c r="AO59" s="504"/>
      <c r="AP59" s="331" t="s">
        <v>374</v>
      </c>
      <c r="AQ59" s="311">
        <v>0</v>
      </c>
      <c r="AR59" s="781"/>
      <c r="AS59" s="781"/>
      <c r="AU59" s="137" t="s">
        <v>1150</v>
      </c>
      <c r="AV59" s="330"/>
      <c r="AW59" s="325"/>
      <c r="AX59" s="800">
        <v>120.46899999999999</v>
      </c>
      <c r="AY59" s="503">
        <v>113.65</v>
      </c>
    </row>
    <row r="60" spans="1:53" ht="14.5" customHeight="1" x14ac:dyDescent="0.2">
      <c r="A60" s="322"/>
      <c r="B60" s="318"/>
      <c r="C60" s="318"/>
      <c r="E60" s="790" t="s">
        <v>189</v>
      </c>
      <c r="F60" s="779">
        <v>434.6</v>
      </c>
      <c r="G60" s="501">
        <v>410</v>
      </c>
      <c r="H60" s="321"/>
      <c r="Y60" s="310" t="s">
        <v>1151</v>
      </c>
      <c r="Z60" s="323" t="s">
        <v>1152</v>
      </c>
      <c r="AA60" s="794">
        <v>6619.6575999999995</v>
      </c>
      <c r="AB60" s="500">
        <v>6244.96</v>
      </c>
      <c r="AC60" s="312">
        <v>8</v>
      </c>
      <c r="AD60" s="323" t="s">
        <v>772</v>
      </c>
      <c r="AE60" s="312">
        <v>7</v>
      </c>
      <c r="AF60" s="313">
        <f t="shared" si="6"/>
        <v>5.6000000000000005</v>
      </c>
      <c r="AJ60" s="918"/>
      <c r="AK60" s="310" t="s">
        <v>1148</v>
      </c>
      <c r="AL60" s="310" t="s">
        <v>1153</v>
      </c>
      <c r="AM60" s="779">
        <v>398.56</v>
      </c>
      <c r="AN60" s="498">
        <v>376</v>
      </c>
      <c r="AO60" s="504"/>
      <c r="AP60" s="331" t="s">
        <v>1087</v>
      </c>
      <c r="AQ60" s="311">
        <f>(POLLUSTOP!$G$39*0.6)+AR60</f>
        <v>2033</v>
      </c>
      <c r="AR60" s="801">
        <v>1102.4000000000001</v>
      </c>
      <c r="AS60" s="498">
        <v>1040</v>
      </c>
      <c r="AU60" s="137" t="s">
        <v>1154</v>
      </c>
      <c r="AV60" s="330"/>
      <c r="AW60" s="325"/>
      <c r="AX60" s="800">
        <v>215.0634</v>
      </c>
      <c r="AY60" s="503">
        <v>202.89</v>
      </c>
    </row>
    <row r="61" spans="1:53" ht="14.5" customHeight="1" x14ac:dyDescent="0.2">
      <c r="A61" s="322"/>
      <c r="B61" s="318"/>
      <c r="C61" s="318"/>
      <c r="E61" s="790" t="s">
        <v>190</v>
      </c>
      <c r="F61" s="779">
        <v>890.40000000000009</v>
      </c>
      <c r="G61" s="501">
        <v>840</v>
      </c>
      <c r="H61" s="321"/>
      <c r="Y61" s="310" t="s">
        <v>1155</v>
      </c>
      <c r="Z61" s="323" t="s">
        <v>1156</v>
      </c>
      <c r="AA61" s="794">
        <v>7517.7637999999997</v>
      </c>
      <c r="AB61" s="500">
        <v>7092.23</v>
      </c>
      <c r="AC61" s="312">
        <v>8</v>
      </c>
      <c r="AD61" s="323" t="s">
        <v>772</v>
      </c>
      <c r="AE61" s="312">
        <v>8</v>
      </c>
      <c r="AF61" s="313">
        <f t="shared" si="6"/>
        <v>6.4</v>
      </c>
      <c r="AJ61" s="918"/>
      <c r="AK61" s="310" t="s">
        <v>1148</v>
      </c>
      <c r="AL61" s="310" t="s">
        <v>1157</v>
      </c>
      <c r="AM61" s="779">
        <v>412.34</v>
      </c>
      <c r="AN61" s="498">
        <v>389</v>
      </c>
      <c r="AO61" s="504"/>
      <c r="AP61" s="331" t="s">
        <v>1095</v>
      </c>
      <c r="AQ61" s="311">
        <f>AR61+(POLLUSTOP!$G$40*0.6)</f>
        <v>1795.04</v>
      </c>
      <c r="AR61" s="801">
        <v>1445.84</v>
      </c>
      <c r="AS61" s="498">
        <v>1364</v>
      </c>
      <c r="AU61" s="137" t="s">
        <v>1158</v>
      </c>
      <c r="AV61" s="330"/>
      <c r="AW61" s="325"/>
      <c r="AX61" s="800">
        <v>461.33319999999998</v>
      </c>
      <c r="AY61" s="503">
        <v>435.22</v>
      </c>
    </row>
    <row r="62" spans="1:53" ht="14.5" customHeight="1" x14ac:dyDescent="0.2">
      <c r="A62" s="322"/>
      <c r="B62" s="318"/>
      <c r="C62" s="318"/>
      <c r="E62" s="790" t="s">
        <v>191</v>
      </c>
      <c r="F62" s="779">
        <v>636</v>
      </c>
      <c r="G62" s="501">
        <v>600</v>
      </c>
      <c r="H62" s="321"/>
      <c r="Y62" s="310" t="s">
        <v>1159</v>
      </c>
      <c r="Z62" s="323" t="s">
        <v>1160</v>
      </c>
      <c r="AA62" s="794">
        <v>8415.8700000000008</v>
      </c>
      <c r="AB62" s="500">
        <v>7939.5</v>
      </c>
      <c r="AC62" s="312">
        <v>8</v>
      </c>
      <c r="AD62" s="323" t="s">
        <v>772</v>
      </c>
      <c r="AE62" s="312">
        <v>9</v>
      </c>
      <c r="AF62" s="313">
        <f t="shared" si="6"/>
        <v>7.2</v>
      </c>
      <c r="AJ62" s="918"/>
      <c r="AK62" s="310" t="s">
        <v>1148</v>
      </c>
      <c r="AL62" s="310" t="s">
        <v>1161</v>
      </c>
      <c r="AM62" s="779">
        <v>481.24</v>
      </c>
      <c r="AN62" s="498">
        <v>454</v>
      </c>
      <c r="AO62" s="504"/>
      <c r="AP62" s="331" t="s">
        <v>1102</v>
      </c>
      <c r="AQ62" s="311">
        <f>AR62+(POLLUSTOP!$G$41*0.6)</f>
        <v>1724.62</v>
      </c>
      <c r="AR62" s="801">
        <v>1724.62</v>
      </c>
      <c r="AS62" s="498">
        <v>1627</v>
      </c>
      <c r="AU62" s="137"/>
      <c r="AV62" s="330"/>
      <c r="AW62" s="325"/>
      <c r="AX62" s="711"/>
    </row>
    <row r="63" spans="1:53" ht="14.5" customHeight="1" x14ac:dyDescent="0.15">
      <c r="E63" s="320"/>
      <c r="F63" s="779"/>
      <c r="G63" s="501"/>
      <c r="H63" s="321"/>
      <c r="Y63" s="310" t="s">
        <v>1162</v>
      </c>
      <c r="Z63" s="323" t="s">
        <v>1163</v>
      </c>
      <c r="AA63" s="794">
        <v>9313.976200000001</v>
      </c>
      <c r="AB63" s="500">
        <v>8786.77</v>
      </c>
      <c r="AC63" s="312">
        <v>8</v>
      </c>
      <c r="AD63" s="323" t="s">
        <v>772</v>
      </c>
      <c r="AE63" s="312">
        <v>10</v>
      </c>
      <c r="AF63" s="313">
        <f t="shared" si="6"/>
        <v>8</v>
      </c>
      <c r="AJ63" s="918"/>
      <c r="AK63" s="310" t="s">
        <v>1148</v>
      </c>
      <c r="AL63" s="310" t="s">
        <v>1164</v>
      </c>
      <c r="AM63" s="779">
        <v>517.28</v>
      </c>
      <c r="AN63" s="498">
        <v>488</v>
      </c>
      <c r="AO63" s="504"/>
      <c r="AP63" s="331" t="s">
        <v>1106</v>
      </c>
      <c r="AQ63" s="311">
        <f>AR63+(POLLUSTOP!$G$41*0.6)</f>
        <v>2110.46</v>
      </c>
      <c r="AR63" s="801">
        <v>2110.46</v>
      </c>
      <c r="AS63" s="498">
        <v>1991</v>
      </c>
      <c r="AU63" s="407" t="s">
        <v>1165</v>
      </c>
      <c r="AV63" s="330"/>
      <c r="AW63" s="325"/>
      <c r="AX63" s="709"/>
      <c r="BA63" s="322" t="s">
        <v>1166</v>
      </c>
    </row>
    <row r="64" spans="1:53" ht="14.5" customHeight="1" x14ac:dyDescent="0.15">
      <c r="E64" s="790" t="s">
        <v>192</v>
      </c>
      <c r="F64" s="779">
        <v>858.6</v>
      </c>
      <c r="G64" s="501">
        <v>810</v>
      </c>
      <c r="H64" s="321"/>
      <c r="Y64" s="310" t="s">
        <v>1167</v>
      </c>
      <c r="Z64" s="323" t="s">
        <v>1168</v>
      </c>
      <c r="AA64" s="794">
        <v>10212.082399999999</v>
      </c>
      <c r="AB64" s="500">
        <v>9634.0400000000009</v>
      </c>
      <c r="AC64" s="312">
        <v>8</v>
      </c>
      <c r="AD64" s="323" t="s">
        <v>772</v>
      </c>
      <c r="AE64" s="312">
        <v>11</v>
      </c>
      <c r="AF64" s="313">
        <f t="shared" si="6"/>
        <v>8.8000000000000007</v>
      </c>
      <c r="AJ64" s="918"/>
      <c r="AK64" s="310" t="s">
        <v>1148</v>
      </c>
      <c r="AL64" s="310" t="s">
        <v>1169</v>
      </c>
      <c r="AM64" s="779">
        <v>570.28</v>
      </c>
      <c r="AN64" s="498">
        <v>538</v>
      </c>
      <c r="AO64" s="504"/>
      <c r="AP64" s="331" t="s">
        <v>1112</v>
      </c>
      <c r="AQ64" s="311">
        <f>AR64+(POLLUSTOP!$G$42*0.6)</f>
        <v>2462.38</v>
      </c>
      <c r="AR64" s="801">
        <v>2462.38</v>
      </c>
      <c r="AS64" s="498">
        <v>2323</v>
      </c>
      <c r="AU64" s="407"/>
      <c r="AV64" s="330"/>
      <c r="AW64" s="325"/>
      <c r="AX64" s="709"/>
      <c r="BA64" s="322"/>
    </row>
    <row r="65" spans="1:53" ht="14.5" customHeight="1" x14ac:dyDescent="0.2">
      <c r="E65" s="790" t="s">
        <v>193</v>
      </c>
      <c r="F65" s="779">
        <v>556.5</v>
      </c>
      <c r="G65" s="501">
        <v>525</v>
      </c>
      <c r="H65" s="321"/>
      <c r="Y65" s="310" t="s">
        <v>1170</v>
      </c>
      <c r="Z65" s="323" t="s">
        <v>1171</v>
      </c>
      <c r="AA65" s="794">
        <v>11110.188599999999</v>
      </c>
      <c r="AB65" s="500">
        <v>10481.31</v>
      </c>
      <c r="AC65" s="312">
        <v>8</v>
      </c>
      <c r="AD65" s="323" t="s">
        <v>772</v>
      </c>
      <c r="AE65" s="312">
        <v>12</v>
      </c>
      <c r="AF65" s="313">
        <f t="shared" si="6"/>
        <v>9.6000000000000014</v>
      </c>
      <c r="AJ65" s="918"/>
      <c r="AK65" s="310" t="s">
        <v>1148</v>
      </c>
      <c r="AL65" s="310" t="s">
        <v>1169</v>
      </c>
      <c r="AM65" s="779">
        <v>602.08000000000004</v>
      </c>
      <c r="AN65" s="498">
        <v>568</v>
      </c>
      <c r="AO65" s="504"/>
      <c r="AP65" s="331" t="s">
        <v>1116</v>
      </c>
      <c r="AQ65" s="311">
        <f>AR65+(POLLUSTOP!$G$42*0.6)</f>
        <v>2776.14</v>
      </c>
      <c r="AR65" s="801">
        <v>2776.14</v>
      </c>
      <c r="AS65" s="498">
        <v>2619</v>
      </c>
      <c r="AU65" s="137" t="s">
        <v>1172</v>
      </c>
      <c r="AV65" s="330"/>
      <c r="AW65" s="325"/>
      <c r="AX65" s="800">
        <v>207.79179999999999</v>
      </c>
      <c r="AY65" s="503">
        <v>196.03</v>
      </c>
      <c r="BA65" s="714">
        <v>0.33</v>
      </c>
    </row>
    <row r="66" spans="1:53" ht="14.5" customHeight="1" x14ac:dyDescent="0.2">
      <c r="A66" s="322" t="s">
        <v>1173</v>
      </c>
      <c r="B66" s="318" t="s">
        <v>824</v>
      </c>
      <c r="C66" s="318"/>
      <c r="E66" s="790" t="s">
        <v>194</v>
      </c>
      <c r="F66" s="779">
        <v>323.3</v>
      </c>
      <c r="G66" s="501">
        <v>305</v>
      </c>
      <c r="H66" s="321"/>
      <c r="Y66" s="310" t="s">
        <v>1174</v>
      </c>
      <c r="Z66" s="323" t="s">
        <v>1175</v>
      </c>
      <c r="AA66" s="794">
        <v>1264.6436000000001</v>
      </c>
      <c r="AB66" s="500">
        <v>1193.06</v>
      </c>
      <c r="AC66" s="312">
        <v>8</v>
      </c>
      <c r="AD66" s="323" t="s">
        <v>774</v>
      </c>
      <c r="AE66" s="312">
        <v>1</v>
      </c>
      <c r="AF66" s="313">
        <f>IF(AD66="S",AC66*#REF!*AE66,AC66*$AD$3*AE66)</f>
        <v>1.6</v>
      </c>
      <c r="AJ66" s="918"/>
      <c r="AP66" s="331" t="s">
        <v>1124</v>
      </c>
      <c r="AQ66" s="311">
        <f>AR66+(POLLUSTOP!$G$43*0.6)</f>
        <v>3545.5</v>
      </c>
      <c r="AR66" s="801">
        <v>3365.5</v>
      </c>
      <c r="AS66" s="498">
        <v>3175</v>
      </c>
      <c r="AU66" s="137" t="s">
        <v>1176</v>
      </c>
      <c r="AV66" s="330"/>
      <c r="AW66" s="325"/>
      <c r="AX66" s="800">
        <v>212.37100000000001</v>
      </c>
      <c r="AY66" s="503">
        <v>200.35</v>
      </c>
      <c r="BA66" s="714">
        <v>0.33</v>
      </c>
    </row>
    <row r="67" spans="1:53" ht="14.5" customHeight="1" x14ac:dyDescent="0.2">
      <c r="A67" s="322" t="s">
        <v>1177</v>
      </c>
      <c r="B67" s="318" t="s">
        <v>824</v>
      </c>
      <c r="C67" s="318"/>
      <c r="E67" s="790" t="s">
        <v>195</v>
      </c>
      <c r="F67" s="779">
        <v>344.5</v>
      </c>
      <c r="G67" s="501">
        <v>325</v>
      </c>
      <c r="H67" s="321"/>
      <c r="Y67" s="310" t="s">
        <v>1178</v>
      </c>
      <c r="Z67" s="323" t="s">
        <v>1179</v>
      </c>
      <c r="AA67" s="794">
        <v>2148.6729999999998</v>
      </c>
      <c r="AB67" s="500">
        <v>2027.05</v>
      </c>
      <c r="AC67" s="312">
        <v>8</v>
      </c>
      <c r="AD67" s="323" t="s">
        <v>774</v>
      </c>
      <c r="AE67" s="312">
        <v>2</v>
      </c>
      <c r="AF67" s="313">
        <f>IF(AD67="S",AC67*#REF!*AE67,AC67*$AD$3*AE67)</f>
        <v>3.2</v>
      </c>
      <c r="AJ67" s="918"/>
      <c r="AP67" s="331" t="s">
        <v>1129</v>
      </c>
      <c r="AQ67" s="311">
        <f>AR67+(POLLUSTOP!$G$43*0.6)</f>
        <v>4157.12</v>
      </c>
      <c r="AR67" s="801">
        <v>3977.12</v>
      </c>
      <c r="AS67" s="498">
        <v>3752</v>
      </c>
      <c r="AU67" s="137" t="s">
        <v>1180</v>
      </c>
      <c r="AV67" s="330"/>
      <c r="AW67" s="325"/>
      <c r="AX67" s="800">
        <v>346.27019999999999</v>
      </c>
      <c r="AY67" s="503">
        <v>326.67</v>
      </c>
      <c r="BA67" s="714">
        <v>2</v>
      </c>
    </row>
    <row r="68" spans="1:53" ht="14.5" customHeight="1" x14ac:dyDescent="0.2">
      <c r="A68" s="322" t="s">
        <v>1181</v>
      </c>
      <c r="B68" s="318" t="s">
        <v>814</v>
      </c>
      <c r="C68" s="318"/>
      <c r="E68" s="790" t="s">
        <v>1182</v>
      </c>
      <c r="F68" s="779">
        <v>1711.9</v>
      </c>
      <c r="G68" s="501">
        <v>1615</v>
      </c>
      <c r="H68" s="321"/>
      <c r="Y68" s="310" t="s">
        <v>1183</v>
      </c>
      <c r="Z68" s="323" t="s">
        <v>1184</v>
      </c>
      <c r="AA68" s="794">
        <v>3128.1024000000002</v>
      </c>
      <c r="AB68" s="500">
        <v>2951.04</v>
      </c>
      <c r="AC68" s="312">
        <v>8</v>
      </c>
      <c r="AD68" s="323" t="s">
        <v>774</v>
      </c>
      <c r="AE68" s="312">
        <v>3</v>
      </c>
      <c r="AF68" s="313">
        <f>IF(AD68="S",AC68*#REF!*AE68,AC68*$AD$3*AE68)</f>
        <v>4.8000000000000007</v>
      </c>
      <c r="AJ68" s="918"/>
      <c r="AK68" s="334" t="s">
        <v>1185</v>
      </c>
      <c r="AL68" s="333"/>
      <c r="AM68" s="334"/>
      <c r="AN68" s="334"/>
      <c r="AP68" s="331" t="s">
        <v>1134</v>
      </c>
      <c r="AQ68" s="311">
        <f>AR68+(POLLUSTOP!$G$43*0.6)</f>
        <v>4487.84</v>
      </c>
      <c r="AR68" s="801">
        <v>4307.84</v>
      </c>
      <c r="AS68" s="498">
        <v>4064</v>
      </c>
      <c r="AU68" s="137" t="s">
        <v>1186</v>
      </c>
      <c r="AV68" s="330"/>
      <c r="AW68" s="325"/>
      <c r="AX68" s="800">
        <v>362.94400000000002</v>
      </c>
      <c r="AY68" s="503">
        <v>342.4</v>
      </c>
      <c r="BA68" s="714">
        <v>2</v>
      </c>
    </row>
    <row r="69" spans="1:53" ht="14.5" customHeight="1" x14ac:dyDescent="0.2">
      <c r="A69" s="322" t="s">
        <v>1187</v>
      </c>
      <c r="B69" s="318" t="s">
        <v>785</v>
      </c>
      <c r="C69" s="318"/>
      <c r="E69" s="790" t="s">
        <v>196</v>
      </c>
      <c r="F69" s="779">
        <v>969.90000000000009</v>
      </c>
      <c r="G69" s="501">
        <v>915</v>
      </c>
      <c r="H69" s="321"/>
      <c r="Y69" s="310" t="s">
        <v>1188</v>
      </c>
      <c r="Z69" s="323" t="s">
        <v>1189</v>
      </c>
      <c r="AA69" s="794">
        <v>4059.8317999999999</v>
      </c>
      <c r="AB69" s="500">
        <v>3830.03</v>
      </c>
      <c r="AC69" s="312">
        <v>8</v>
      </c>
      <c r="AD69" s="323" t="s">
        <v>774</v>
      </c>
      <c r="AE69" s="312">
        <v>4</v>
      </c>
      <c r="AF69" s="313">
        <f>IF(AD69="S",AC69*#REF!*AE69,AC69*$AD$3*AE69)</f>
        <v>6.4</v>
      </c>
      <c r="AJ69" s="918"/>
      <c r="AK69" s="310" t="s">
        <v>1190</v>
      </c>
      <c r="AL69" s="322" t="s">
        <v>1191</v>
      </c>
      <c r="AM69" s="779">
        <v>127.2</v>
      </c>
      <c r="AN69" s="498">
        <v>120</v>
      </c>
      <c r="AO69" s="504"/>
      <c r="AP69" s="331" t="s">
        <v>1137</v>
      </c>
      <c r="AQ69" s="311">
        <f>AR69+(POLLUSTOP!$G$44*0.6)</f>
        <v>5199.9400000000014</v>
      </c>
      <c r="AR69" s="801">
        <v>5139.9400000000014</v>
      </c>
      <c r="AS69" s="498">
        <v>4849</v>
      </c>
      <c r="AU69" s="137" t="s">
        <v>1192</v>
      </c>
      <c r="AV69" s="330"/>
      <c r="AW69" s="325"/>
      <c r="AX69" s="800">
        <v>311.41739999999999</v>
      </c>
      <c r="AY69" s="503">
        <v>293.79000000000002</v>
      </c>
      <c r="BA69" s="714">
        <v>1</v>
      </c>
    </row>
    <row r="70" spans="1:53" ht="14.5" customHeight="1" x14ac:dyDescent="0.2">
      <c r="A70" s="322" t="s">
        <v>1193</v>
      </c>
      <c r="B70" s="318" t="s">
        <v>785</v>
      </c>
      <c r="C70" s="318"/>
      <c r="E70" s="790" t="s">
        <v>197</v>
      </c>
      <c r="F70" s="779">
        <v>482.3</v>
      </c>
      <c r="G70" s="501">
        <v>455</v>
      </c>
      <c r="H70" s="321"/>
      <c r="Y70" s="310" t="s">
        <v>1194</v>
      </c>
      <c r="Z70" s="323" t="s">
        <v>1195</v>
      </c>
      <c r="AA70" s="794">
        <v>4991.561200000001</v>
      </c>
      <c r="AB70" s="500">
        <v>4709.0200000000004</v>
      </c>
      <c r="AC70" s="312">
        <v>8</v>
      </c>
      <c r="AD70" s="323" t="s">
        <v>774</v>
      </c>
      <c r="AE70" s="312">
        <v>5</v>
      </c>
      <c r="AF70" s="313">
        <f>IF(AD70="S",AC70*#REF!*AE70,AC70*$AD$3*AE70)</f>
        <v>8</v>
      </c>
      <c r="AJ70" s="918"/>
      <c r="AK70" s="310" t="s">
        <v>1196</v>
      </c>
      <c r="AL70" s="322" t="s">
        <v>1197</v>
      </c>
      <c r="AM70" s="779">
        <v>127.2</v>
      </c>
      <c r="AN70" s="498">
        <v>120</v>
      </c>
      <c r="AO70" s="504"/>
      <c r="AP70" s="322"/>
      <c r="AU70" s="137" t="s">
        <v>1198</v>
      </c>
      <c r="AV70" s="330"/>
      <c r="AW70" s="325"/>
      <c r="AX70" s="800">
        <v>927.01239999999996</v>
      </c>
      <c r="AY70" s="503">
        <v>874.54</v>
      </c>
      <c r="BA70" s="714">
        <v>1</v>
      </c>
    </row>
    <row r="71" spans="1:53" ht="14.5" customHeight="1" x14ac:dyDescent="0.2">
      <c r="E71" s="790" t="s">
        <v>198</v>
      </c>
      <c r="F71" s="779">
        <v>424</v>
      </c>
      <c r="G71" s="501">
        <v>400</v>
      </c>
      <c r="H71" s="321"/>
      <c r="Y71" s="310" t="s">
        <v>1199</v>
      </c>
      <c r="Z71" s="323" t="s">
        <v>1200</v>
      </c>
      <c r="AA71" s="794">
        <v>5923.2906000000003</v>
      </c>
      <c r="AB71" s="500">
        <v>5588.01</v>
      </c>
      <c r="AC71" s="312">
        <v>8</v>
      </c>
      <c r="AD71" s="323" t="s">
        <v>774</v>
      </c>
      <c r="AE71" s="312">
        <v>6</v>
      </c>
      <c r="AF71" s="313">
        <f>IF(AD71="S",AC71*#REF!*AE71,AC71*$AD$3*AE71)</f>
        <v>9.6000000000000014</v>
      </c>
      <c r="AJ71" s="918"/>
      <c r="AK71" s="310" t="s">
        <v>1201</v>
      </c>
      <c r="AL71" s="310" t="s">
        <v>1202</v>
      </c>
      <c r="AM71" s="779">
        <v>583</v>
      </c>
      <c r="AN71" s="498">
        <v>550</v>
      </c>
      <c r="AO71" s="504"/>
      <c r="AP71" s="340" t="s">
        <v>647</v>
      </c>
      <c r="AQ71" s="334"/>
      <c r="AR71" s="334"/>
      <c r="AS71" s="334"/>
      <c r="AU71" s="798" t="s">
        <v>1203</v>
      </c>
      <c r="AV71" s="796"/>
      <c r="AW71" s="797"/>
      <c r="AX71" s="800">
        <v>351.04020000000003</v>
      </c>
      <c r="AY71" s="503">
        <v>331.17</v>
      </c>
      <c r="BA71" s="714">
        <v>1</v>
      </c>
    </row>
    <row r="72" spans="1:53" ht="14.5" customHeight="1" x14ac:dyDescent="0.2">
      <c r="E72" s="790" t="s">
        <v>199</v>
      </c>
      <c r="F72" s="779">
        <v>1469.16</v>
      </c>
      <c r="G72" s="501">
        <v>1386</v>
      </c>
      <c r="H72" s="321"/>
      <c r="Y72" s="310" t="s">
        <v>1204</v>
      </c>
      <c r="Z72" s="323" t="s">
        <v>1205</v>
      </c>
      <c r="AA72" s="794">
        <v>6855.02</v>
      </c>
      <c r="AB72" s="500">
        <v>6467</v>
      </c>
      <c r="AC72" s="312">
        <v>8</v>
      </c>
      <c r="AD72" s="323" t="s">
        <v>774</v>
      </c>
      <c r="AE72" s="312">
        <v>7</v>
      </c>
      <c r="AF72" s="313">
        <f>IF(AD72="S",AC72*#REF!*AE72,AC72*$AD$3*AE72)</f>
        <v>11.200000000000001</v>
      </c>
      <c r="AJ72" s="918"/>
      <c r="AK72" s="310" t="s">
        <v>465</v>
      </c>
      <c r="AL72" s="310" t="s">
        <v>1206</v>
      </c>
      <c r="AM72" s="779">
        <v>127.2</v>
      </c>
      <c r="AN72" s="498">
        <v>120</v>
      </c>
      <c r="AO72" s="504"/>
      <c r="AP72" s="331" t="s">
        <v>374</v>
      </c>
      <c r="AQ72" s="311">
        <v>0</v>
      </c>
      <c r="AR72" s="781"/>
      <c r="AS72" s="781"/>
      <c r="AU72" s="798" t="s">
        <v>1207</v>
      </c>
      <c r="AV72" s="796"/>
      <c r="AW72" s="797"/>
      <c r="AX72" s="800">
        <v>367.714</v>
      </c>
      <c r="AY72" s="503">
        <v>346.9</v>
      </c>
      <c r="BA72" s="714">
        <v>1</v>
      </c>
    </row>
    <row r="73" spans="1:53" ht="14.5" customHeight="1" x14ac:dyDescent="0.15">
      <c r="E73" s="790" t="s">
        <v>200</v>
      </c>
      <c r="F73" s="779">
        <v>371</v>
      </c>
      <c r="G73" s="501">
        <v>350</v>
      </c>
      <c r="H73" s="321"/>
      <c r="Y73" s="310" t="s">
        <v>1208</v>
      </c>
      <c r="Z73" s="323" t="s">
        <v>1209</v>
      </c>
      <c r="AA73" s="794">
        <v>7786.7494000000006</v>
      </c>
      <c r="AB73" s="500">
        <v>7345.99</v>
      </c>
      <c r="AC73" s="312">
        <v>8</v>
      </c>
      <c r="AD73" s="323" t="s">
        <v>774</v>
      </c>
      <c r="AE73" s="312">
        <v>8</v>
      </c>
      <c r="AF73" s="313">
        <f>IF(AD73="S",AC73*#REF!*AE73,AC73*$AD$3*AE73)</f>
        <v>12.8</v>
      </c>
      <c r="AJ73" s="918"/>
      <c r="AK73" s="310" t="s">
        <v>1210</v>
      </c>
      <c r="AL73" s="310" t="s">
        <v>1202</v>
      </c>
      <c r="AM73" s="779">
        <v>603</v>
      </c>
      <c r="AN73" s="498">
        <v>423</v>
      </c>
      <c r="AO73" s="504"/>
      <c r="AP73" s="331" t="s">
        <v>1211</v>
      </c>
      <c r="AQ73" s="311">
        <f>(POLLUSTOP!$G$39*0.8)+AR73</f>
        <v>2531.88</v>
      </c>
      <c r="AR73" s="801">
        <f t="shared" ref="AR73:AR82" si="7">AS73*1.06</f>
        <v>1291.0800000000002</v>
      </c>
      <c r="AS73" s="498">
        <v>1218</v>
      </c>
      <c r="AU73" s="407"/>
      <c r="AV73" s="330"/>
      <c r="AW73" s="325"/>
      <c r="AX73" s="709"/>
    </row>
    <row r="74" spans="1:53" ht="14.5" customHeight="1" x14ac:dyDescent="0.15">
      <c r="E74" s="790" t="s">
        <v>201</v>
      </c>
      <c r="F74" s="779">
        <v>858.6</v>
      </c>
      <c r="G74" s="501">
        <v>810</v>
      </c>
      <c r="H74" s="321"/>
      <c r="Y74" s="310" t="s">
        <v>1212</v>
      </c>
      <c r="Z74" s="323" t="s">
        <v>1213</v>
      </c>
      <c r="AA74" s="794">
        <v>8718.4788000000008</v>
      </c>
      <c r="AB74" s="500">
        <v>8224.98</v>
      </c>
      <c r="AC74" s="312">
        <v>8</v>
      </c>
      <c r="AD74" s="323" t="s">
        <v>774</v>
      </c>
      <c r="AE74" s="312">
        <v>9</v>
      </c>
      <c r="AF74" s="313">
        <f>IF(AD74="S",AC74*#REF!*AE74,AC74*$AD$3*AE74)</f>
        <v>14.4</v>
      </c>
      <c r="AJ74" s="918"/>
      <c r="AK74" s="310" t="s">
        <v>1214</v>
      </c>
      <c r="AL74" s="310" t="s">
        <v>1215</v>
      </c>
      <c r="AM74" s="779">
        <v>603</v>
      </c>
      <c r="AN74" s="498">
        <v>423</v>
      </c>
      <c r="AO74" s="504"/>
      <c r="AP74" s="331" t="s">
        <v>1216</v>
      </c>
      <c r="AQ74" s="311">
        <f>AR74+(POLLUSTOP!$G$40*0.8)</f>
        <v>2438.2600000000002</v>
      </c>
      <c r="AR74" s="801">
        <f t="shared" si="7"/>
        <v>1972.66</v>
      </c>
      <c r="AS74" s="498">
        <v>1861</v>
      </c>
      <c r="AU74" s="407"/>
      <c r="AV74" s="330"/>
      <c r="AW74" s="325"/>
      <c r="AX74" s="709"/>
    </row>
    <row r="75" spans="1:53" ht="14.5" customHeight="1" x14ac:dyDescent="0.15">
      <c r="E75" s="790" t="s">
        <v>202</v>
      </c>
      <c r="F75" s="779">
        <v>858.6</v>
      </c>
      <c r="G75" s="501">
        <v>810</v>
      </c>
      <c r="H75" s="321"/>
      <c r="Y75" s="310" t="s">
        <v>1217</v>
      </c>
      <c r="Z75" s="323" t="s">
        <v>1218</v>
      </c>
      <c r="AA75" s="794">
        <v>9650.2081999999991</v>
      </c>
      <c r="AB75" s="500">
        <v>9103.9699999999993</v>
      </c>
      <c r="AC75" s="312">
        <v>8</v>
      </c>
      <c r="AD75" s="323" t="s">
        <v>774</v>
      </c>
      <c r="AE75" s="312">
        <v>10</v>
      </c>
      <c r="AF75" s="313">
        <f>IF(AD75="S",AC75*#REF!*AE75,AC75*$AD$3*AE75)</f>
        <v>16</v>
      </c>
      <c r="AJ75" s="918"/>
      <c r="AP75" s="331" t="s">
        <v>1219</v>
      </c>
      <c r="AQ75" s="311">
        <f>AR75+(POLLUSTOP!$G$41*0.8)</f>
        <v>2630.92</v>
      </c>
      <c r="AR75" s="801">
        <f t="shared" si="7"/>
        <v>2630.92</v>
      </c>
      <c r="AS75" s="498">
        <v>2482</v>
      </c>
      <c r="AU75" s="325" t="s">
        <v>1220</v>
      </c>
      <c r="AV75" s="330"/>
      <c r="AW75" s="325"/>
      <c r="AX75" s="709"/>
    </row>
    <row r="76" spans="1:53" ht="14.5" customHeight="1" x14ac:dyDescent="0.15">
      <c r="E76" s="790" t="s">
        <v>203</v>
      </c>
      <c r="F76" s="779">
        <v>424</v>
      </c>
      <c r="G76" s="501">
        <v>400</v>
      </c>
      <c r="H76" s="321"/>
      <c r="Y76" s="310" t="s">
        <v>1221</v>
      </c>
      <c r="Z76" s="323" t="s">
        <v>1222</v>
      </c>
      <c r="AA76" s="794">
        <v>10581.937599999999</v>
      </c>
      <c r="AB76" s="500">
        <v>9982.9599999999991</v>
      </c>
      <c r="AC76" s="312">
        <v>8</v>
      </c>
      <c r="AD76" s="323" t="s">
        <v>774</v>
      </c>
      <c r="AE76" s="312">
        <v>11</v>
      </c>
      <c r="AF76" s="313">
        <f>IF(AD76="S",AC76*#REF!*AE76,AC76*$AD$3*AE76)</f>
        <v>17.600000000000001</v>
      </c>
      <c r="AJ76" s="918"/>
      <c r="AP76" s="331" t="s">
        <v>1223</v>
      </c>
      <c r="AQ76" s="311">
        <f>AR76+(POLLUSTOP!$G$41*0.8)</f>
        <v>3227.7000000000003</v>
      </c>
      <c r="AR76" s="801">
        <f t="shared" si="7"/>
        <v>3227.7000000000003</v>
      </c>
      <c r="AS76" s="498">
        <v>3045</v>
      </c>
      <c r="AU76" s="325"/>
      <c r="AV76" s="330"/>
      <c r="AW76" s="325"/>
      <c r="AX76" s="709"/>
    </row>
    <row r="77" spans="1:53" ht="14.5" customHeight="1" x14ac:dyDescent="0.15">
      <c r="E77" s="790" t="s">
        <v>204</v>
      </c>
      <c r="F77" s="779">
        <v>323.3</v>
      </c>
      <c r="G77" s="501">
        <v>305</v>
      </c>
      <c r="H77" s="321"/>
      <c r="Y77" s="310" t="s">
        <v>1224</v>
      </c>
      <c r="Z77" s="323" t="s">
        <v>1225</v>
      </c>
      <c r="AA77" s="794">
        <v>11513.666999999999</v>
      </c>
      <c r="AB77" s="500">
        <v>10861.95</v>
      </c>
      <c r="AC77" s="312">
        <v>8</v>
      </c>
      <c r="AD77" s="323" t="s">
        <v>774</v>
      </c>
      <c r="AE77" s="312">
        <v>12</v>
      </c>
      <c r="AF77" s="313">
        <f>IF(AD77="S",AC77*#REF!*AE77,AC77*$AD$3*AE77)</f>
        <v>19.200000000000003</v>
      </c>
      <c r="AJ77" s="918"/>
      <c r="AP77" s="331" t="s">
        <v>1226</v>
      </c>
      <c r="AQ77" s="311">
        <f>AR77+(POLLUSTOP!$G$42*0.8)</f>
        <v>4305.72</v>
      </c>
      <c r="AR77" s="801">
        <f t="shared" si="7"/>
        <v>4305.72</v>
      </c>
      <c r="AS77" s="498">
        <v>4062</v>
      </c>
      <c r="AU77" s="325"/>
      <c r="AV77" s="330"/>
      <c r="AW77" s="325"/>
      <c r="AX77" s="709"/>
    </row>
    <row r="78" spans="1:53" ht="14.5" customHeight="1" x14ac:dyDescent="0.15">
      <c r="E78" s="790" t="s">
        <v>205</v>
      </c>
      <c r="F78" s="779">
        <v>1590</v>
      </c>
      <c r="G78" s="501">
        <v>1500</v>
      </c>
      <c r="H78" s="321"/>
      <c r="AP78" s="331" t="s">
        <v>1227</v>
      </c>
      <c r="AQ78" s="311">
        <f>AR78+(POLLUSTOP!$G$42*0.8)</f>
        <v>4382.04</v>
      </c>
      <c r="AR78" s="801">
        <f t="shared" si="7"/>
        <v>4382.04</v>
      </c>
      <c r="AS78" s="498">
        <v>4134</v>
      </c>
      <c r="AU78" s="407"/>
      <c r="AV78" s="330"/>
      <c r="AW78" s="407"/>
      <c r="AX78" s="709"/>
    </row>
    <row r="79" spans="1:53" ht="14.5" customHeight="1" x14ac:dyDescent="0.15">
      <c r="E79" s="790" t="s">
        <v>206</v>
      </c>
      <c r="F79" s="779">
        <v>598.9</v>
      </c>
      <c r="G79" s="501">
        <v>565</v>
      </c>
      <c r="H79" s="321"/>
      <c r="AP79" s="331" t="s">
        <v>1228</v>
      </c>
      <c r="AQ79" s="311">
        <f>AR79+(POLLUSTOP!$G$43*0.8)</f>
        <v>6176</v>
      </c>
      <c r="AR79" s="801">
        <f t="shared" si="7"/>
        <v>5936</v>
      </c>
      <c r="AS79" s="498">
        <v>5600</v>
      </c>
      <c r="AU79" s="407"/>
      <c r="AV79" s="330"/>
      <c r="AW79" s="407"/>
      <c r="AX79" s="709"/>
    </row>
    <row r="80" spans="1:53" ht="14.5" customHeight="1" x14ac:dyDescent="0.15">
      <c r="E80" s="790" t="s">
        <v>207</v>
      </c>
      <c r="F80" s="779">
        <v>545.9</v>
      </c>
      <c r="G80" s="501">
        <v>515</v>
      </c>
      <c r="H80" s="321"/>
      <c r="AP80" s="331" t="s">
        <v>1229</v>
      </c>
      <c r="AQ80" s="311">
        <f>AR80+(POLLUSTOP!$G$43*0.8)</f>
        <v>6364.68</v>
      </c>
      <c r="AR80" s="801">
        <f t="shared" si="7"/>
        <v>6124.68</v>
      </c>
      <c r="AS80" s="498">
        <v>5778</v>
      </c>
      <c r="AU80" s="407"/>
      <c r="AV80" s="330"/>
      <c r="AW80" s="325"/>
      <c r="AX80" s="709"/>
    </row>
    <row r="81" spans="5:51" ht="14.5" customHeight="1" x14ac:dyDescent="0.15">
      <c r="E81" s="790" t="s">
        <v>208</v>
      </c>
      <c r="F81" s="779">
        <v>567.1</v>
      </c>
      <c r="G81" s="501">
        <v>535</v>
      </c>
      <c r="H81" s="321"/>
      <c r="AP81" s="331" t="s">
        <v>1230</v>
      </c>
      <c r="AQ81" s="311">
        <f>AR81+(POLLUSTOP!$G$43*0.8)</f>
        <v>7965.2800000000007</v>
      </c>
      <c r="AR81" s="801">
        <f t="shared" si="7"/>
        <v>7725.2800000000007</v>
      </c>
      <c r="AS81" s="498">
        <v>7288</v>
      </c>
      <c r="AU81" s="325"/>
      <c r="AV81" s="330"/>
      <c r="AW81" s="325"/>
      <c r="AX81" s="709"/>
    </row>
    <row r="82" spans="5:51" ht="14.5" customHeight="1" x14ac:dyDescent="0.15">
      <c r="E82" s="790" t="s">
        <v>209</v>
      </c>
      <c r="F82" s="779">
        <v>567.1</v>
      </c>
      <c r="G82" s="501">
        <v>535</v>
      </c>
      <c r="H82" s="321"/>
      <c r="AP82" s="331" t="s">
        <v>1231</v>
      </c>
      <c r="AQ82" s="311">
        <f>AR82+(POLLUSTOP!$G$44*0.8)</f>
        <v>8354.36</v>
      </c>
      <c r="AR82" s="801">
        <f t="shared" si="7"/>
        <v>8274.36</v>
      </c>
      <c r="AS82" s="498">
        <v>7806</v>
      </c>
      <c r="AU82" s="325"/>
      <c r="AV82" s="330"/>
      <c r="AW82" s="325"/>
      <c r="AX82" s="709"/>
    </row>
    <row r="83" spans="5:51" ht="14.5" customHeight="1" x14ac:dyDescent="0.15">
      <c r="E83" s="790" t="s">
        <v>210</v>
      </c>
      <c r="F83" s="779">
        <v>863.90000000000009</v>
      </c>
      <c r="G83" s="501">
        <v>815</v>
      </c>
      <c r="H83" s="321"/>
      <c r="AP83" s="322"/>
      <c r="AU83" s="325"/>
      <c r="AV83" s="330"/>
      <c r="AW83" s="325"/>
      <c r="AX83" s="709"/>
    </row>
    <row r="84" spans="5:51" ht="14.5" customHeight="1" x14ac:dyDescent="0.15">
      <c r="E84" s="790" t="s">
        <v>211</v>
      </c>
      <c r="F84" s="779">
        <v>344.5</v>
      </c>
      <c r="G84" s="501">
        <v>325</v>
      </c>
      <c r="H84" s="321"/>
      <c r="AP84" s="340" t="s">
        <v>584</v>
      </c>
      <c r="AQ84" s="334"/>
      <c r="AR84" s="334"/>
      <c r="AS84" s="334"/>
      <c r="AU84" s="325"/>
      <c r="AV84" s="330"/>
      <c r="AW84" s="325"/>
      <c r="AX84" s="709"/>
    </row>
    <row r="85" spans="5:51" ht="14.5" customHeight="1" x14ac:dyDescent="0.15">
      <c r="E85" s="790" t="s">
        <v>212</v>
      </c>
      <c r="F85" s="779">
        <v>344.5</v>
      </c>
      <c r="G85" s="501">
        <v>325</v>
      </c>
      <c r="H85" s="321"/>
      <c r="AP85" s="331" t="s">
        <v>374</v>
      </c>
      <c r="AQ85" s="311">
        <v>0</v>
      </c>
      <c r="AR85" s="789"/>
      <c r="AS85" s="789"/>
      <c r="AU85" s="325" t="s">
        <v>1232</v>
      </c>
      <c r="AV85" s="330"/>
      <c r="AW85" s="325" t="s">
        <v>1233</v>
      </c>
      <c r="AX85" s="927">
        <v>90.619399999999999</v>
      </c>
      <c r="AY85" s="503">
        <v>85.49</v>
      </c>
    </row>
    <row r="86" spans="5:51" ht="14.5" customHeight="1" x14ac:dyDescent="0.15">
      <c r="E86" s="790" t="s">
        <v>213</v>
      </c>
      <c r="F86" s="779">
        <v>890.40000000000009</v>
      </c>
      <c r="G86" s="501">
        <v>840</v>
      </c>
      <c r="H86" s="321"/>
      <c r="AP86" s="331" t="s">
        <v>1234</v>
      </c>
      <c r="AQ86" s="311">
        <f>(POLLUSTOP!$G$39*0.126)+AR86</f>
        <v>2197.7660000000001</v>
      </c>
      <c r="AR86" s="801">
        <f t="shared" ref="AR86:AR95" si="8">AS86*1.06</f>
        <v>2002.3400000000001</v>
      </c>
      <c r="AS86" s="498">
        <v>1889</v>
      </c>
      <c r="AU86" s="325" t="s">
        <v>1235</v>
      </c>
      <c r="AV86" s="330"/>
      <c r="AW86" s="325"/>
      <c r="AX86" s="927">
        <v>40.396599999999999</v>
      </c>
      <c r="AY86" s="503">
        <v>38.11</v>
      </c>
    </row>
    <row r="87" spans="5:51" ht="14.5" customHeight="1" x14ac:dyDescent="0.2">
      <c r="E87" s="790" t="s">
        <v>214</v>
      </c>
      <c r="F87" s="779">
        <v>940.22</v>
      </c>
      <c r="G87" s="501">
        <v>887</v>
      </c>
      <c r="H87" s="321"/>
      <c r="AP87" s="18" t="s">
        <v>1236</v>
      </c>
      <c r="AQ87" s="311">
        <f>AR87+(POLLUSTOP!$G$40*1.56)</f>
        <v>3178.44</v>
      </c>
      <c r="AR87" s="801">
        <f t="shared" si="8"/>
        <v>2270.52</v>
      </c>
      <c r="AS87" s="498">
        <v>2142</v>
      </c>
      <c r="AU87" s="322" t="s">
        <v>1237</v>
      </c>
      <c r="AV87" s="323"/>
      <c r="AW87" s="325" t="s">
        <v>1238</v>
      </c>
      <c r="AX87" s="795">
        <v>836.34</v>
      </c>
      <c r="AY87" s="503">
        <v>789</v>
      </c>
    </row>
    <row r="88" spans="5:51" ht="14.5" customHeight="1" x14ac:dyDescent="0.2">
      <c r="E88" s="790" t="s">
        <v>215</v>
      </c>
      <c r="F88" s="779">
        <v>445.2</v>
      </c>
      <c r="G88" s="501">
        <v>420</v>
      </c>
      <c r="H88" s="321"/>
      <c r="AP88" s="18" t="s">
        <v>1239</v>
      </c>
      <c r="AQ88" s="311">
        <f>AR88+(POLLUSTOP!$G$41*1.56)</f>
        <v>3158.8</v>
      </c>
      <c r="AR88" s="801">
        <f t="shared" si="8"/>
        <v>3158.8</v>
      </c>
      <c r="AS88" s="498">
        <v>2980</v>
      </c>
      <c r="AU88" s="325" t="s">
        <v>1232</v>
      </c>
      <c r="AV88" s="330"/>
      <c r="AW88" s="325" t="s">
        <v>1240</v>
      </c>
      <c r="AX88" s="927">
        <v>146.30119999999999</v>
      </c>
      <c r="AY88" s="503">
        <v>138.02000000000001</v>
      </c>
    </row>
    <row r="89" spans="5:51" ht="14.5" customHeight="1" x14ac:dyDescent="0.2">
      <c r="E89" s="790" t="s">
        <v>216</v>
      </c>
      <c r="F89" s="779">
        <v>1060</v>
      </c>
      <c r="G89" s="501">
        <v>1000</v>
      </c>
      <c r="H89" s="321"/>
      <c r="AP89" s="18" t="s">
        <v>1241</v>
      </c>
      <c r="AQ89" s="311">
        <f>AR89+(POLLUSTOP!$G$41*1.56)</f>
        <v>3671.84</v>
      </c>
      <c r="AR89" s="801">
        <f t="shared" si="8"/>
        <v>3671.84</v>
      </c>
      <c r="AS89" s="498">
        <v>3464</v>
      </c>
      <c r="AU89" s="340" t="s">
        <v>1242</v>
      </c>
      <c r="AV89" s="341"/>
      <c r="AW89" s="342"/>
      <c r="AX89" s="340"/>
      <c r="AY89" s="926"/>
    </row>
    <row r="90" spans="5:51" ht="14.5" customHeight="1" x14ac:dyDescent="0.2">
      <c r="E90" s="790" t="s">
        <v>217</v>
      </c>
      <c r="F90" s="779">
        <v>726.1</v>
      </c>
      <c r="G90" s="501">
        <v>685</v>
      </c>
      <c r="H90" s="321"/>
      <c r="AP90" s="18" t="s">
        <v>1243</v>
      </c>
      <c r="AQ90" s="311">
        <f>AR90+(POLLUSTOP!$G$42*1.56)</f>
        <v>4318.4400000000005</v>
      </c>
      <c r="AR90" s="801">
        <f t="shared" si="8"/>
        <v>4318.4400000000005</v>
      </c>
      <c r="AS90" s="498">
        <v>4074</v>
      </c>
      <c r="AU90" s="325" t="s">
        <v>1244</v>
      </c>
      <c r="AV90" s="330"/>
      <c r="AW90" s="325" t="s">
        <v>1245</v>
      </c>
      <c r="AX90" s="795">
        <v>422.53719999999998</v>
      </c>
      <c r="AY90" s="503">
        <v>398.62</v>
      </c>
    </row>
    <row r="91" spans="5:51" ht="14.5" customHeight="1" x14ac:dyDescent="0.2">
      <c r="E91" s="790" t="s">
        <v>218</v>
      </c>
      <c r="F91" s="779">
        <v>386.9</v>
      </c>
      <c r="G91" s="501">
        <v>365</v>
      </c>
      <c r="H91" s="321"/>
      <c r="AP91" s="18" t="s">
        <v>1246</v>
      </c>
      <c r="AQ91" s="311">
        <f>AR91+(POLLUSTOP!$G$42*1.56)</f>
        <v>4642.8</v>
      </c>
      <c r="AR91" s="801">
        <f t="shared" si="8"/>
        <v>4642.8</v>
      </c>
      <c r="AS91" s="498">
        <v>4380</v>
      </c>
      <c r="AU91" s="325" t="s">
        <v>1244</v>
      </c>
      <c r="AV91" s="330"/>
      <c r="AW91" s="325" t="s">
        <v>1247</v>
      </c>
      <c r="AX91" s="795">
        <v>355.43920000000003</v>
      </c>
      <c r="AY91" s="503">
        <v>335.32</v>
      </c>
    </row>
    <row r="92" spans="5:51" ht="14.5" customHeight="1" x14ac:dyDescent="0.2">
      <c r="E92" s="790" t="s">
        <v>219</v>
      </c>
      <c r="F92" s="779">
        <v>651.9</v>
      </c>
      <c r="G92" s="501">
        <v>615</v>
      </c>
      <c r="H92" s="321"/>
      <c r="AP92" s="18" t="s">
        <v>1248</v>
      </c>
      <c r="AQ92" s="311">
        <f>AR92+(POLLUSTOP!$G$43*1.56)</f>
        <v>6261.96</v>
      </c>
      <c r="AR92" s="801">
        <f t="shared" si="8"/>
        <v>5793.96</v>
      </c>
      <c r="AS92" s="498">
        <v>5466</v>
      </c>
      <c r="AU92" s="325" t="s">
        <v>1244</v>
      </c>
      <c r="AV92" s="330"/>
      <c r="AW92" s="325" t="s">
        <v>1249</v>
      </c>
      <c r="AX92" s="795">
        <v>344.43639999999999</v>
      </c>
      <c r="AY92" s="503">
        <v>324.94</v>
      </c>
    </row>
    <row r="93" spans="5:51" ht="14.5" customHeight="1" x14ac:dyDescent="0.2">
      <c r="E93" s="790" t="s">
        <v>1250</v>
      </c>
      <c r="F93" s="779">
        <v>1203.0999999999999</v>
      </c>
      <c r="G93" s="501">
        <v>1135</v>
      </c>
      <c r="H93" s="321"/>
      <c r="AP93" s="18" t="s">
        <v>1251</v>
      </c>
      <c r="AQ93" s="311">
        <f>AR93+(POLLUSTOP!$G$43*2.06)</f>
        <v>7236.64</v>
      </c>
      <c r="AR93" s="801">
        <f t="shared" si="8"/>
        <v>6618.64</v>
      </c>
      <c r="AS93" s="498">
        <v>6244</v>
      </c>
      <c r="AU93" s="325" t="s">
        <v>1244</v>
      </c>
      <c r="AV93" s="330"/>
      <c r="AW93" s="325" t="s">
        <v>1252</v>
      </c>
      <c r="AX93" s="795">
        <v>301.8562</v>
      </c>
      <c r="AY93" s="503">
        <v>284.77</v>
      </c>
    </row>
    <row r="94" spans="5:51" ht="14.5" customHeight="1" x14ac:dyDescent="0.2">
      <c r="E94" s="790" t="s">
        <v>220</v>
      </c>
      <c r="F94" s="779">
        <v>651.9</v>
      </c>
      <c r="G94" s="501">
        <v>615</v>
      </c>
      <c r="H94" s="321"/>
      <c r="AP94" s="18" t="s">
        <v>1253</v>
      </c>
      <c r="AQ94" s="311">
        <f>AR94+(POLLUSTOP!$G$43*2.06)</f>
        <v>7668.06</v>
      </c>
      <c r="AR94" s="801">
        <f t="shared" si="8"/>
        <v>7050.06</v>
      </c>
      <c r="AS94" s="498">
        <v>6651</v>
      </c>
      <c r="AU94" s="325" t="s">
        <v>1254</v>
      </c>
      <c r="AV94" s="330"/>
      <c r="AW94" s="325" t="s">
        <v>1255</v>
      </c>
      <c r="AX94" s="795">
        <v>70.3416</v>
      </c>
      <c r="AY94" s="503">
        <v>66.36</v>
      </c>
    </row>
    <row r="95" spans="5:51" ht="14.5" customHeight="1" x14ac:dyDescent="0.2">
      <c r="E95" s="790" t="s">
        <v>221</v>
      </c>
      <c r="F95" s="779">
        <v>344.5</v>
      </c>
      <c r="G95" s="501">
        <v>325</v>
      </c>
      <c r="H95" s="321"/>
      <c r="AP95" s="18" t="s">
        <v>1256</v>
      </c>
      <c r="AQ95" s="311">
        <f>AR95+(POLLUSTOP!$G$44*2.06)</f>
        <v>7417.18</v>
      </c>
      <c r="AR95" s="801">
        <f t="shared" si="8"/>
        <v>7211.18</v>
      </c>
      <c r="AS95" s="498">
        <v>6803</v>
      </c>
      <c r="AU95" s="325" t="s">
        <v>1254</v>
      </c>
      <c r="AV95" s="330"/>
      <c r="AW95" s="325" t="s">
        <v>1257</v>
      </c>
      <c r="AX95" s="795">
        <v>76.436599999999999</v>
      </c>
      <c r="AY95" s="503">
        <v>72.11</v>
      </c>
    </row>
    <row r="96" spans="5:51" ht="14.5" customHeight="1" x14ac:dyDescent="0.15">
      <c r="E96" s="790" t="s">
        <v>222</v>
      </c>
      <c r="F96" s="779">
        <v>344.5</v>
      </c>
      <c r="G96" s="501">
        <v>325</v>
      </c>
      <c r="H96" s="321"/>
      <c r="AP96" s="322"/>
      <c r="AU96" s="310" t="s">
        <v>1254</v>
      </c>
      <c r="AV96" s="323"/>
      <c r="AW96" s="325" t="s">
        <v>1258</v>
      </c>
      <c r="AX96" s="795">
        <v>72.525200000000012</v>
      </c>
      <c r="AY96" s="503">
        <v>68.42</v>
      </c>
    </row>
    <row r="97" spans="5:51" ht="14.5" customHeight="1" x14ac:dyDescent="0.15">
      <c r="E97" s="790" t="s">
        <v>223</v>
      </c>
      <c r="F97" s="779">
        <v>906.30000000000007</v>
      </c>
      <c r="G97" s="501">
        <v>855</v>
      </c>
      <c r="H97" s="321"/>
      <c r="AP97" s="340" t="s">
        <v>585</v>
      </c>
      <c r="AQ97" s="334"/>
      <c r="AR97" s="334"/>
      <c r="AS97" s="334"/>
      <c r="AU97" s="310" t="s">
        <v>1254</v>
      </c>
      <c r="AV97" s="323"/>
      <c r="AW97" s="325" t="s">
        <v>1259</v>
      </c>
      <c r="AX97" s="795">
        <v>109.7418</v>
      </c>
      <c r="AY97" s="503">
        <v>103.53</v>
      </c>
    </row>
    <row r="98" spans="5:51" ht="14.5" customHeight="1" x14ac:dyDescent="0.15">
      <c r="E98" s="790" t="s">
        <v>224</v>
      </c>
      <c r="F98" s="779">
        <v>895.7</v>
      </c>
      <c r="G98" s="501">
        <v>845</v>
      </c>
      <c r="H98" s="321"/>
      <c r="AP98" s="331" t="s">
        <v>374</v>
      </c>
      <c r="AQ98" s="311">
        <v>0</v>
      </c>
      <c r="AR98" s="781"/>
      <c r="AS98" s="781"/>
      <c r="AU98" s="325" t="s">
        <v>1260</v>
      </c>
      <c r="AV98" s="330"/>
      <c r="AW98" s="325" t="s">
        <v>1258</v>
      </c>
      <c r="AX98" s="795">
        <v>80.263199999999998</v>
      </c>
      <c r="AY98" s="503">
        <v>75.72</v>
      </c>
    </row>
    <row r="99" spans="5:51" ht="14.5" customHeight="1" x14ac:dyDescent="0.15">
      <c r="E99" s="790" t="s">
        <v>225</v>
      </c>
      <c r="F99" s="779">
        <v>396.44</v>
      </c>
      <c r="G99" s="501">
        <v>374</v>
      </c>
      <c r="H99" s="321"/>
      <c r="AP99" s="331" t="s">
        <v>1087</v>
      </c>
      <c r="AQ99" s="311">
        <f>(POLLUSTOP!$G$39*0.6)+AR99</f>
        <v>1448.94</v>
      </c>
      <c r="AR99" s="801">
        <v>518.34</v>
      </c>
      <c r="AS99" s="498">
        <v>489</v>
      </c>
      <c r="AU99" s="325" t="s">
        <v>1260</v>
      </c>
      <c r="AV99" s="330"/>
      <c r="AW99" s="325" t="s">
        <v>1259</v>
      </c>
      <c r="AX99" s="795">
        <v>105.88339999999999</v>
      </c>
      <c r="AY99" s="503">
        <v>99.89</v>
      </c>
    </row>
    <row r="100" spans="5:51" ht="14.5" customHeight="1" x14ac:dyDescent="0.15">
      <c r="E100" s="790" t="s">
        <v>226</v>
      </c>
      <c r="F100" s="779">
        <v>2072.3000000000002</v>
      </c>
      <c r="G100" s="501">
        <v>1955</v>
      </c>
      <c r="H100" s="321"/>
      <c r="AP100" s="331" t="s">
        <v>1095</v>
      </c>
      <c r="AQ100" s="311">
        <f>AR100+(POLLUSTOP!$G$40*0.6)</f>
        <v>957.6400000000001</v>
      </c>
      <c r="AR100" s="801">
        <v>608.44000000000005</v>
      </c>
      <c r="AS100" s="498">
        <v>574</v>
      </c>
      <c r="AU100" s="325" t="s">
        <v>1261</v>
      </c>
      <c r="AV100" s="330"/>
      <c r="AW100" s="325" t="s">
        <v>1262</v>
      </c>
      <c r="AX100" s="795">
        <v>137.5668</v>
      </c>
      <c r="AY100" s="503">
        <v>129.78</v>
      </c>
    </row>
    <row r="101" spans="5:51" ht="14.5" customHeight="1" x14ac:dyDescent="0.15">
      <c r="E101" s="790" t="s">
        <v>227</v>
      </c>
      <c r="F101" s="779">
        <v>408.1</v>
      </c>
      <c r="G101" s="501">
        <v>385</v>
      </c>
      <c r="H101" s="321"/>
      <c r="AP101" s="331" t="s">
        <v>1102</v>
      </c>
      <c r="AQ101" s="311">
        <f>AR101+(POLLUSTOP!$G$41*0.6)</f>
        <v>648.72</v>
      </c>
      <c r="AR101" s="801">
        <v>648.72</v>
      </c>
      <c r="AS101" s="498">
        <v>612</v>
      </c>
      <c r="AU101" s="325" t="s">
        <v>1260</v>
      </c>
      <c r="AV101" s="330"/>
      <c r="AW101" s="325" t="s">
        <v>1263</v>
      </c>
      <c r="AX101" s="795">
        <v>157.2192</v>
      </c>
      <c r="AY101" s="503">
        <v>148.32</v>
      </c>
    </row>
    <row r="102" spans="5:51" ht="14.5" customHeight="1" x14ac:dyDescent="0.15">
      <c r="E102" s="320" t="s">
        <v>228</v>
      </c>
      <c r="F102" s="779" t="s">
        <v>1264</v>
      </c>
      <c r="G102" s="501" t="s">
        <v>1265</v>
      </c>
      <c r="H102" s="321"/>
      <c r="AP102" s="331" t="s">
        <v>1106</v>
      </c>
      <c r="AQ102" s="311">
        <f>AR102+(POLLUSTOP!$G$41*0.6)</f>
        <v>679.46</v>
      </c>
      <c r="AR102" s="801">
        <v>679.46</v>
      </c>
      <c r="AS102" s="498">
        <v>641</v>
      </c>
      <c r="AU102" s="340" t="s">
        <v>1266</v>
      </c>
      <c r="AV102" s="341"/>
      <c r="AW102" s="333"/>
      <c r="AX102" s="340"/>
      <c r="AY102" s="926"/>
    </row>
    <row r="103" spans="5:51" ht="14.5" customHeight="1" x14ac:dyDescent="0.15">
      <c r="E103" s="790" t="s">
        <v>229</v>
      </c>
      <c r="F103" s="779">
        <v>1203.0999999999999</v>
      </c>
      <c r="G103" s="501">
        <v>1135</v>
      </c>
      <c r="H103" s="321"/>
      <c r="AP103" s="331" t="s">
        <v>1112</v>
      </c>
      <c r="AQ103" s="311">
        <f>AR103+(POLLUSTOP!$G$42*0.6)</f>
        <v>739.88</v>
      </c>
      <c r="AR103" s="801">
        <v>739.88</v>
      </c>
      <c r="AS103" s="498">
        <v>698</v>
      </c>
      <c r="AU103" s="325" t="s">
        <v>1267</v>
      </c>
      <c r="AV103" s="330"/>
      <c r="AW103" s="325" t="s">
        <v>1268</v>
      </c>
      <c r="AX103" s="795">
        <v>307.01839999999999</v>
      </c>
      <c r="AY103" s="503">
        <v>289.64</v>
      </c>
    </row>
    <row r="104" spans="5:51" ht="14.5" customHeight="1" x14ac:dyDescent="0.15">
      <c r="E104" s="790" t="s">
        <v>230</v>
      </c>
      <c r="F104" s="779">
        <v>434.6</v>
      </c>
      <c r="G104" s="501">
        <v>410</v>
      </c>
      <c r="H104" s="321"/>
      <c r="AP104" s="331" t="s">
        <v>1116</v>
      </c>
      <c r="AQ104" s="311">
        <f>AR104+(POLLUSTOP!$G$42*0.6)</f>
        <v>791.82</v>
      </c>
      <c r="AR104" s="801">
        <v>791.82</v>
      </c>
      <c r="AS104" s="498">
        <v>747</v>
      </c>
      <c r="AU104" s="325" t="s">
        <v>1267</v>
      </c>
      <c r="AV104" s="330"/>
      <c r="AW104" s="325" t="s">
        <v>1269</v>
      </c>
      <c r="AX104" s="795">
        <v>264.07780000000002</v>
      </c>
      <c r="AY104" s="503">
        <v>249.13</v>
      </c>
    </row>
    <row r="105" spans="5:51" ht="14.5" customHeight="1" x14ac:dyDescent="0.15">
      <c r="E105" s="790" t="s">
        <v>231</v>
      </c>
      <c r="F105" s="779">
        <v>622.22</v>
      </c>
      <c r="G105" s="501">
        <v>587</v>
      </c>
      <c r="H105" s="321"/>
      <c r="AP105" s="331" t="s">
        <v>1124</v>
      </c>
      <c r="AQ105" s="311">
        <f>AR105+(POLLUSTOP!$G$43*0.6)</f>
        <v>1034.3600000000001</v>
      </c>
      <c r="AR105" s="801">
        <v>854.36</v>
      </c>
      <c r="AS105" s="498">
        <v>806</v>
      </c>
      <c r="AU105" s="325" t="s">
        <v>1267</v>
      </c>
      <c r="AV105" s="330"/>
      <c r="AW105" s="325" t="s">
        <v>1270</v>
      </c>
      <c r="AX105" s="795">
        <v>147.50960000000001</v>
      </c>
      <c r="AY105" s="503">
        <v>139.16</v>
      </c>
    </row>
    <row r="106" spans="5:51" ht="14.5" customHeight="1" x14ac:dyDescent="0.15">
      <c r="E106" s="790" t="s">
        <v>232</v>
      </c>
      <c r="F106" s="779">
        <v>1203.0999999999999</v>
      </c>
      <c r="G106" s="501">
        <v>1135</v>
      </c>
      <c r="H106" s="321"/>
      <c r="AP106" s="331" t="s">
        <v>1129</v>
      </c>
      <c r="AQ106" s="311">
        <f>AR106+(POLLUSTOP!$G$43*0.6)</f>
        <v>1079.94</v>
      </c>
      <c r="AR106" s="801">
        <v>899.94</v>
      </c>
      <c r="AS106" s="498">
        <v>849</v>
      </c>
      <c r="AU106" s="325" t="s">
        <v>1271</v>
      </c>
      <c r="AV106" s="330"/>
      <c r="AW106" s="325" t="s">
        <v>1272</v>
      </c>
      <c r="AX106" s="795">
        <v>327.39159999999998</v>
      </c>
      <c r="AY106" s="503">
        <v>308.86</v>
      </c>
    </row>
    <row r="107" spans="5:51" ht="14.5" customHeight="1" x14ac:dyDescent="0.15">
      <c r="E107" s="790" t="s">
        <v>233</v>
      </c>
      <c r="F107" s="779">
        <v>578.76</v>
      </c>
      <c r="G107" s="501">
        <v>546</v>
      </c>
      <c r="H107" s="321"/>
      <c r="AP107" s="331" t="s">
        <v>1134</v>
      </c>
      <c r="AQ107" s="311">
        <f>AR107+(POLLUSTOP!$G$43*0.6)</f>
        <v>1225.1600000000001</v>
      </c>
      <c r="AR107" s="801">
        <v>1045.1600000000001</v>
      </c>
      <c r="AS107" s="498">
        <v>986</v>
      </c>
      <c r="AU107" s="325" t="s">
        <v>1273</v>
      </c>
      <c r="AV107" s="330"/>
      <c r="AW107" s="325" t="s">
        <v>1274</v>
      </c>
      <c r="AX107" s="795">
        <v>77.42240000000001</v>
      </c>
      <c r="AY107" s="503">
        <v>73.040000000000006</v>
      </c>
    </row>
    <row r="108" spans="5:51" ht="14.5" customHeight="1" x14ac:dyDescent="0.15">
      <c r="E108" s="790" t="s">
        <v>234</v>
      </c>
      <c r="F108" s="779">
        <v>344.5</v>
      </c>
      <c r="G108" s="501">
        <v>325</v>
      </c>
      <c r="H108" s="321"/>
      <c r="AP108" s="331" t="s">
        <v>1137</v>
      </c>
      <c r="AQ108" s="311">
        <f>AR108+(POLLUSTOP!$G$44*0.6)</f>
        <v>1242.96</v>
      </c>
      <c r="AR108" s="801">
        <v>1182.96</v>
      </c>
      <c r="AS108" s="498">
        <v>1116</v>
      </c>
      <c r="AU108" s="325" t="s">
        <v>1273</v>
      </c>
      <c r="AV108" s="330"/>
      <c r="AW108" s="325" t="s">
        <v>1275</v>
      </c>
      <c r="AX108" s="795">
        <v>80.984000000000009</v>
      </c>
      <c r="AY108" s="503">
        <v>76.400000000000006</v>
      </c>
    </row>
    <row r="109" spans="5:51" ht="14.5" customHeight="1" x14ac:dyDescent="0.15">
      <c r="E109" s="790" t="s">
        <v>235</v>
      </c>
      <c r="F109" s="779">
        <v>943.40000000000009</v>
      </c>
      <c r="G109" s="501">
        <v>890</v>
      </c>
      <c r="H109" s="321"/>
      <c r="AP109" s="322"/>
      <c r="AU109" s="325" t="s">
        <v>1273</v>
      </c>
      <c r="AV109" s="330"/>
      <c r="AW109" s="325" t="s">
        <v>1276</v>
      </c>
      <c r="AX109" s="795">
        <v>93.650999999999996</v>
      </c>
      <c r="AY109" s="503">
        <v>88.35</v>
      </c>
    </row>
    <row r="110" spans="5:51" ht="14.5" customHeight="1" x14ac:dyDescent="0.15">
      <c r="E110" s="790" t="s">
        <v>236</v>
      </c>
      <c r="F110" s="779">
        <v>906.30000000000007</v>
      </c>
      <c r="G110" s="501">
        <v>855</v>
      </c>
      <c r="H110" s="321"/>
      <c r="AP110" s="340" t="s">
        <v>1277</v>
      </c>
      <c r="AQ110" s="334"/>
      <c r="AR110" s="334"/>
      <c r="AS110" s="334"/>
      <c r="AU110" s="325" t="s">
        <v>498</v>
      </c>
      <c r="AV110" s="330"/>
      <c r="AW110" s="325" t="s">
        <v>545</v>
      </c>
      <c r="AX110" s="795">
        <v>16.376999999999999</v>
      </c>
      <c r="AY110" s="503">
        <v>15.45</v>
      </c>
    </row>
    <row r="111" spans="5:51" ht="14.5" customHeight="1" x14ac:dyDescent="0.15">
      <c r="E111" s="790" t="s">
        <v>237</v>
      </c>
      <c r="F111" s="779">
        <v>540.6</v>
      </c>
      <c r="G111" s="501">
        <v>510</v>
      </c>
      <c r="H111" s="321"/>
      <c r="AP111" s="331" t="s">
        <v>374</v>
      </c>
      <c r="AQ111" s="311">
        <v>0</v>
      </c>
      <c r="AR111" s="781"/>
      <c r="AS111" s="781"/>
      <c r="AU111" s="325" t="s">
        <v>1278</v>
      </c>
      <c r="AV111" s="799"/>
      <c r="AW111" s="799" t="s">
        <v>1279</v>
      </c>
      <c r="AX111" s="795">
        <v>93.28</v>
      </c>
      <c r="AY111" s="503">
        <v>88</v>
      </c>
    </row>
    <row r="112" spans="5:51" ht="14.5" customHeight="1" x14ac:dyDescent="0.15">
      <c r="E112" s="790" t="s">
        <v>238</v>
      </c>
      <c r="F112" s="779">
        <v>885.1</v>
      </c>
      <c r="G112" s="501">
        <v>835</v>
      </c>
      <c r="H112" s="321"/>
      <c r="AP112" s="331" t="s">
        <v>1211</v>
      </c>
      <c r="AQ112" s="311">
        <f>(POLLUSTOP!$G$39*0.6)+AR112</f>
        <v>3064.1149999999998</v>
      </c>
      <c r="AR112" s="801">
        <v>2133.5149999999999</v>
      </c>
      <c r="AS112" s="498">
        <v>2012.75</v>
      </c>
      <c r="AX112" s="709">
        <v>0</v>
      </c>
      <c r="AY112" s="503">
        <v>0</v>
      </c>
    </row>
    <row r="113" spans="5:51" ht="14.5" customHeight="1" x14ac:dyDescent="0.15">
      <c r="E113" s="790" t="s">
        <v>239</v>
      </c>
      <c r="F113" s="779">
        <v>636</v>
      </c>
      <c r="G113" s="501">
        <v>600</v>
      </c>
      <c r="H113" s="321"/>
      <c r="AP113" s="331" t="s">
        <v>1216</v>
      </c>
      <c r="AQ113" s="311">
        <f>AR113+(POLLUSTOP!$G$40*0.6)</f>
        <v>3401.7773999999999</v>
      </c>
      <c r="AR113" s="801">
        <v>3052.5774000000001</v>
      </c>
      <c r="AS113" s="498">
        <v>2879.79</v>
      </c>
      <c r="AU113" s="310" t="s">
        <v>80</v>
      </c>
      <c r="AX113" s="795">
        <v>116.6</v>
      </c>
      <c r="AY113" s="503">
        <v>110</v>
      </c>
    </row>
    <row r="114" spans="5:51" ht="14.5" customHeight="1" x14ac:dyDescent="0.15">
      <c r="E114" s="320"/>
      <c r="F114" s="779"/>
      <c r="G114" s="501"/>
      <c r="H114" s="321"/>
      <c r="AP114" s="331" t="s">
        <v>829</v>
      </c>
      <c r="AQ114" s="311">
        <f>AR114+(POLLUSTOP!$G$41*0.6)</f>
        <v>4191.9502000000002</v>
      </c>
      <c r="AR114" s="801">
        <v>4191.9502000000002</v>
      </c>
      <c r="AS114" s="498">
        <v>3954.67</v>
      </c>
      <c r="AU114" s="310" t="s">
        <v>1280</v>
      </c>
      <c r="AW114" s="310" t="s">
        <v>95</v>
      </c>
      <c r="AX114" s="709">
        <v>0</v>
      </c>
      <c r="AY114" s="503">
        <v>0</v>
      </c>
    </row>
    <row r="115" spans="5:51" ht="14.5" customHeight="1" x14ac:dyDescent="0.15">
      <c r="E115" s="790" t="s">
        <v>240</v>
      </c>
      <c r="F115" s="779">
        <v>344.5</v>
      </c>
      <c r="G115" s="501">
        <v>325</v>
      </c>
      <c r="H115" s="321"/>
      <c r="AP115" s="331" t="s">
        <v>839</v>
      </c>
      <c r="AQ115" s="311">
        <f>AR115+(POLLUSTOP!$G$41*0.6)</f>
        <v>4800.2417999999998</v>
      </c>
      <c r="AR115" s="801">
        <v>4800.2417999999998</v>
      </c>
      <c r="AS115" s="498">
        <v>4528.53</v>
      </c>
      <c r="AU115" s="310" t="s">
        <v>476</v>
      </c>
      <c r="AW115" s="310" t="s">
        <v>790</v>
      </c>
      <c r="AX115" s="795">
        <v>583</v>
      </c>
      <c r="AY115" s="503">
        <v>550</v>
      </c>
    </row>
    <row r="116" spans="5:51" ht="14.5" customHeight="1" x14ac:dyDescent="0.15">
      <c r="E116" s="790" t="s">
        <v>241</v>
      </c>
      <c r="F116" s="779">
        <v>344.5</v>
      </c>
      <c r="G116" s="501">
        <v>325</v>
      </c>
      <c r="H116" s="321"/>
      <c r="AP116" s="331" t="s">
        <v>845</v>
      </c>
      <c r="AQ116" s="311">
        <f>AR116+(POLLUSTOP!$G$42*0.6)</f>
        <v>5895.3808000000008</v>
      </c>
      <c r="AR116" s="801">
        <v>5895.3808000000008</v>
      </c>
      <c r="AS116" s="498">
        <v>5561.68</v>
      </c>
      <c r="AU116" s="310" t="s">
        <v>476</v>
      </c>
      <c r="AW116" s="310" t="s">
        <v>1281</v>
      </c>
      <c r="AX116" s="795">
        <v>583</v>
      </c>
      <c r="AY116" s="503">
        <v>550</v>
      </c>
    </row>
    <row r="117" spans="5:51" ht="14.5" customHeight="1" x14ac:dyDescent="0.15">
      <c r="E117" s="790" t="s">
        <v>242</v>
      </c>
      <c r="F117" s="779">
        <v>651.9</v>
      </c>
      <c r="G117" s="501">
        <v>615</v>
      </c>
      <c r="H117" s="321"/>
      <c r="AP117" s="331" t="s">
        <v>852</v>
      </c>
      <c r="AQ117" s="311">
        <f>AR117+(POLLUSTOP!$G$42*0.6)</f>
        <v>6484.030600000001</v>
      </c>
      <c r="AR117" s="801">
        <v>6484.030600000001</v>
      </c>
      <c r="AS117" s="498">
        <v>6117.01</v>
      </c>
      <c r="AU117" s="310" t="s">
        <v>468</v>
      </c>
      <c r="AX117" s="795">
        <v>0</v>
      </c>
      <c r="AY117" s="503">
        <v>0</v>
      </c>
    </row>
    <row r="118" spans="5:51" ht="14.5" customHeight="1" x14ac:dyDescent="0.15">
      <c r="E118" s="320"/>
      <c r="F118" s="779"/>
      <c r="G118" s="501">
        <v>383.16</v>
      </c>
      <c r="H118" s="321"/>
      <c r="AP118" s="331" t="s">
        <v>860</v>
      </c>
      <c r="AQ118" s="311">
        <f>AR118+(POLLUSTOP!$G$43*0.6)</f>
        <v>8234.7386000000006</v>
      </c>
      <c r="AR118" s="801">
        <v>8054.7386000000006</v>
      </c>
      <c r="AS118" s="498">
        <v>7598.81</v>
      </c>
      <c r="AU118" s="310" t="s">
        <v>465</v>
      </c>
      <c r="AX118" s="795">
        <v>0</v>
      </c>
      <c r="AY118" s="503">
        <v>0</v>
      </c>
    </row>
    <row r="119" spans="5:51" ht="14.5" customHeight="1" x14ac:dyDescent="0.15">
      <c r="E119" s="790" t="s">
        <v>243</v>
      </c>
      <c r="F119" s="779">
        <v>895.7</v>
      </c>
      <c r="G119" s="501">
        <v>845</v>
      </c>
      <c r="H119" s="321"/>
      <c r="AP119" s="331" t="s">
        <v>867</v>
      </c>
      <c r="AQ119" s="311">
        <f>AR119+(POLLUSTOP!$G$43*0.6)</f>
        <v>9077.0570000000007</v>
      </c>
      <c r="AR119" s="801">
        <v>8897.0570000000007</v>
      </c>
      <c r="AS119" s="498">
        <v>8393.4500000000007</v>
      </c>
      <c r="AU119" s="310" t="s">
        <v>1282</v>
      </c>
      <c r="AW119" s="310" t="s">
        <v>1283</v>
      </c>
      <c r="AX119" s="795">
        <v>640.24</v>
      </c>
      <c r="AY119" s="503">
        <v>604</v>
      </c>
    </row>
    <row r="120" spans="5:51" ht="14.5" customHeight="1" x14ac:dyDescent="0.15">
      <c r="E120" s="790" t="s">
        <v>244</v>
      </c>
      <c r="F120" s="779">
        <v>1203.0999999999999</v>
      </c>
      <c r="G120" s="501">
        <v>1135</v>
      </c>
      <c r="H120" s="321"/>
      <c r="AP120" s="331" t="s">
        <v>876</v>
      </c>
      <c r="AQ120" s="311">
        <f>AR120+(POLLUSTOP!$G$43*0.6)</f>
        <v>10807.0088</v>
      </c>
      <c r="AR120" s="801">
        <v>10627.0088</v>
      </c>
      <c r="AS120" s="498">
        <v>10025.48</v>
      </c>
    </row>
    <row r="121" spans="5:51" ht="14.5" customHeight="1" x14ac:dyDescent="0.15">
      <c r="E121" s="791" t="s">
        <v>245</v>
      </c>
      <c r="F121" s="779">
        <v>349.8</v>
      </c>
      <c r="G121" s="501">
        <v>330</v>
      </c>
      <c r="H121" s="321"/>
      <c r="AP121" s="331" t="s">
        <v>884</v>
      </c>
      <c r="AQ121" s="311">
        <f>AR121+(POLLUSTOP!$G$44*0.6)</f>
        <v>11875.4172</v>
      </c>
      <c r="AR121" s="801">
        <v>11815.4172</v>
      </c>
      <c r="AS121" s="498">
        <v>11146.62</v>
      </c>
    </row>
    <row r="122" spans="5:51" ht="14.5" customHeight="1" x14ac:dyDescent="0.15">
      <c r="E122" s="790" t="s">
        <v>246</v>
      </c>
      <c r="F122" s="779">
        <v>386.9</v>
      </c>
      <c r="G122" s="501">
        <v>365</v>
      </c>
      <c r="H122" s="321"/>
    </row>
    <row r="123" spans="5:51" ht="14.5" customHeight="1" x14ac:dyDescent="0.15">
      <c r="E123" s="790" t="s">
        <v>247</v>
      </c>
      <c r="F123" s="779">
        <v>651.9</v>
      </c>
      <c r="G123" s="501">
        <v>615</v>
      </c>
      <c r="H123" s="321"/>
      <c r="AP123" s="326"/>
    </row>
    <row r="124" spans="5:51" ht="14.5" customHeight="1" x14ac:dyDescent="0.15">
      <c r="E124" s="790" t="s">
        <v>248</v>
      </c>
      <c r="F124" s="779">
        <v>906.30000000000007</v>
      </c>
      <c r="G124" s="501">
        <v>855</v>
      </c>
      <c r="H124" s="321"/>
    </row>
    <row r="125" spans="5:51" ht="14.5" customHeight="1" x14ac:dyDescent="0.15">
      <c r="E125" s="790" t="s">
        <v>249</v>
      </c>
      <c r="F125" s="779">
        <v>906.30000000000007</v>
      </c>
      <c r="G125" s="501">
        <v>855</v>
      </c>
      <c r="H125" s="321"/>
    </row>
    <row r="126" spans="5:51" ht="14.5" customHeight="1" x14ac:dyDescent="0.15">
      <c r="E126" s="790" t="s">
        <v>250</v>
      </c>
      <c r="F126" s="779">
        <v>344.5</v>
      </c>
      <c r="G126" s="501">
        <v>325</v>
      </c>
      <c r="H126" s="321"/>
    </row>
    <row r="127" spans="5:51" ht="14.5" customHeight="1" x14ac:dyDescent="0.15">
      <c r="E127" s="790" t="s">
        <v>251</v>
      </c>
      <c r="F127" s="779">
        <v>948.7</v>
      </c>
      <c r="G127" s="501">
        <v>895</v>
      </c>
      <c r="H127" s="321"/>
    </row>
    <row r="128" spans="5:51" ht="14.5" customHeight="1" x14ac:dyDescent="0.15">
      <c r="E128" s="790" t="s">
        <v>252</v>
      </c>
      <c r="F128" s="779">
        <v>940.22</v>
      </c>
      <c r="G128" s="501">
        <v>887</v>
      </c>
      <c r="H128" s="321"/>
    </row>
    <row r="129" spans="5:42" ht="14.5" customHeight="1" x14ac:dyDescent="0.15">
      <c r="E129" s="790" t="s">
        <v>253</v>
      </c>
      <c r="F129" s="779">
        <v>413.4</v>
      </c>
      <c r="G129" s="501">
        <v>390</v>
      </c>
      <c r="H129" s="321"/>
    </row>
    <row r="130" spans="5:42" ht="14.5" customHeight="1" x14ac:dyDescent="0.15">
      <c r="E130" s="790" t="s">
        <v>254</v>
      </c>
      <c r="F130" s="779">
        <v>1049.4000000000001</v>
      </c>
      <c r="G130" s="501">
        <v>990</v>
      </c>
      <c r="H130" s="321"/>
    </row>
    <row r="131" spans="5:42" ht="14.5" customHeight="1" x14ac:dyDescent="0.15">
      <c r="E131" s="790" t="s">
        <v>255</v>
      </c>
      <c r="F131" s="779">
        <v>906.30000000000007</v>
      </c>
      <c r="G131" s="501">
        <v>855</v>
      </c>
      <c r="H131" s="321"/>
    </row>
    <row r="132" spans="5:42" ht="14.5" customHeight="1" x14ac:dyDescent="0.15">
      <c r="E132" s="790" t="s">
        <v>256</v>
      </c>
      <c r="F132" s="779">
        <v>396.44</v>
      </c>
      <c r="G132" s="501">
        <v>374</v>
      </c>
      <c r="H132" s="321"/>
    </row>
    <row r="133" spans="5:42" ht="14.5" customHeight="1" x14ac:dyDescent="0.15">
      <c r="E133" s="790" t="s">
        <v>257</v>
      </c>
      <c r="F133" s="779">
        <v>1028.2</v>
      </c>
      <c r="G133" s="501">
        <v>970</v>
      </c>
      <c r="H133" s="321"/>
    </row>
    <row r="134" spans="5:42" ht="14.5" customHeight="1" x14ac:dyDescent="0.15">
      <c r="E134" s="790" t="s">
        <v>258</v>
      </c>
      <c r="F134" s="779">
        <v>622.22</v>
      </c>
      <c r="G134" s="501">
        <v>587</v>
      </c>
      <c r="H134" s="321"/>
    </row>
    <row r="135" spans="5:42" ht="14.5" customHeight="1" x14ac:dyDescent="0.15">
      <c r="E135" s="790" t="s">
        <v>259</v>
      </c>
      <c r="F135" s="779">
        <v>940.22</v>
      </c>
      <c r="G135" s="501">
        <v>887</v>
      </c>
      <c r="H135" s="321"/>
    </row>
    <row r="136" spans="5:42" ht="14.5" customHeight="1" x14ac:dyDescent="0.15">
      <c r="E136" s="320"/>
      <c r="F136" s="779"/>
      <c r="G136" s="501"/>
      <c r="H136" s="321"/>
      <c r="AP136" s="326"/>
    </row>
    <row r="137" spans="5:42" ht="14.5" customHeight="1" x14ac:dyDescent="0.15">
      <c r="E137" s="790" t="s">
        <v>260</v>
      </c>
      <c r="F137" s="779">
        <v>424</v>
      </c>
      <c r="G137" s="501">
        <v>400</v>
      </c>
      <c r="H137" s="321"/>
    </row>
    <row r="138" spans="5:42" ht="14.5" customHeight="1" x14ac:dyDescent="0.15">
      <c r="E138" s="790" t="s">
        <v>261</v>
      </c>
      <c r="F138" s="779">
        <v>1203.0999999999999</v>
      </c>
      <c r="G138" s="501">
        <v>1135</v>
      </c>
      <c r="H138" s="321"/>
    </row>
    <row r="139" spans="5:42" ht="14.5" customHeight="1" x14ac:dyDescent="0.15">
      <c r="E139" s="790" t="s">
        <v>262</v>
      </c>
      <c r="F139" s="779">
        <v>551.20000000000005</v>
      </c>
      <c r="G139" s="501">
        <v>520</v>
      </c>
      <c r="H139" s="321"/>
    </row>
    <row r="140" spans="5:42" ht="14.5" customHeight="1" x14ac:dyDescent="0.15">
      <c r="E140" s="790" t="s">
        <v>263</v>
      </c>
      <c r="F140" s="779">
        <v>651.9</v>
      </c>
      <c r="G140" s="501">
        <v>615</v>
      </c>
      <c r="H140" s="321"/>
    </row>
    <row r="141" spans="5:42" ht="14.5" customHeight="1" x14ac:dyDescent="0.15">
      <c r="E141" s="790" t="s">
        <v>264</v>
      </c>
      <c r="F141" s="779">
        <v>906.30000000000007</v>
      </c>
      <c r="G141" s="501">
        <v>855</v>
      </c>
      <c r="H141" s="321"/>
    </row>
    <row r="142" spans="5:42" ht="14.5" customHeight="1" x14ac:dyDescent="0.15">
      <c r="E142" s="790" t="s">
        <v>265</v>
      </c>
      <c r="F142" s="779">
        <v>424</v>
      </c>
      <c r="G142" s="501">
        <v>400</v>
      </c>
      <c r="H142" s="321"/>
    </row>
    <row r="143" spans="5:42" ht="14.5" customHeight="1" x14ac:dyDescent="0.15">
      <c r="E143" s="790" t="s">
        <v>266</v>
      </c>
      <c r="F143" s="779">
        <v>1028.2</v>
      </c>
      <c r="G143" s="501">
        <v>970</v>
      </c>
      <c r="H143" s="321"/>
    </row>
    <row r="144" spans="5:42" ht="14.5" customHeight="1" x14ac:dyDescent="0.15">
      <c r="E144" s="790" t="s">
        <v>267</v>
      </c>
      <c r="F144" s="779">
        <v>1028.2</v>
      </c>
      <c r="G144" s="501">
        <v>970</v>
      </c>
      <c r="H144" s="321"/>
    </row>
    <row r="145" spans="5:42" ht="14.5" customHeight="1" x14ac:dyDescent="0.15">
      <c r="E145" s="790" t="s">
        <v>268</v>
      </c>
      <c r="F145" s="779">
        <v>1203.0999999999999</v>
      </c>
      <c r="G145" s="501">
        <v>1135</v>
      </c>
      <c r="H145" s="321"/>
    </row>
    <row r="146" spans="5:42" ht="14.5" customHeight="1" x14ac:dyDescent="0.15">
      <c r="E146" s="790" t="s">
        <v>269</v>
      </c>
      <c r="F146" s="779">
        <v>540.6</v>
      </c>
      <c r="G146" s="501">
        <v>510</v>
      </c>
      <c r="H146" s="321"/>
    </row>
    <row r="147" spans="5:42" ht="14.5" customHeight="1" x14ac:dyDescent="0.15">
      <c r="E147" s="790" t="s">
        <v>270</v>
      </c>
      <c r="F147" s="779">
        <v>478.06</v>
      </c>
      <c r="G147" s="501">
        <v>451</v>
      </c>
      <c r="H147" s="321"/>
    </row>
    <row r="148" spans="5:42" ht="14.5" customHeight="1" x14ac:dyDescent="0.15">
      <c r="E148" s="790" t="s">
        <v>271</v>
      </c>
      <c r="F148" s="779">
        <v>478.06</v>
      </c>
      <c r="G148" s="501">
        <v>451</v>
      </c>
      <c r="H148" s="321"/>
    </row>
    <row r="149" spans="5:42" ht="14.5" customHeight="1" x14ac:dyDescent="0.15">
      <c r="E149" s="790" t="s">
        <v>272</v>
      </c>
      <c r="F149" s="779">
        <v>890.40000000000009</v>
      </c>
      <c r="G149" s="501">
        <v>840</v>
      </c>
      <c r="H149" s="321"/>
    </row>
    <row r="150" spans="5:42" ht="14.5" customHeight="1" x14ac:dyDescent="0.15">
      <c r="E150" s="790" t="s">
        <v>273</v>
      </c>
      <c r="F150" s="779">
        <v>906.30000000000007</v>
      </c>
      <c r="G150" s="501">
        <v>855</v>
      </c>
      <c r="H150" s="321"/>
    </row>
    <row r="151" spans="5:42" ht="14.5" customHeight="1" x14ac:dyDescent="0.15">
      <c r="E151" s="790" t="s">
        <v>274</v>
      </c>
      <c r="F151" s="779">
        <v>540.6</v>
      </c>
      <c r="G151" s="501">
        <v>510</v>
      </c>
      <c r="H151" s="321"/>
      <c r="AP151" s="326"/>
    </row>
    <row r="152" spans="5:42" ht="14.5" customHeight="1" x14ac:dyDescent="0.15">
      <c r="E152" s="790" t="s">
        <v>275</v>
      </c>
      <c r="F152" s="779">
        <v>418.7</v>
      </c>
      <c r="G152" s="501">
        <v>395</v>
      </c>
      <c r="H152" s="321"/>
    </row>
    <row r="153" spans="5:42" ht="14.5" customHeight="1" x14ac:dyDescent="0.15">
      <c r="E153" s="790" t="s">
        <v>90</v>
      </c>
      <c r="F153" s="779">
        <v>408.1</v>
      </c>
      <c r="G153" s="501">
        <v>385</v>
      </c>
      <c r="H153" s="321"/>
    </row>
    <row r="154" spans="5:42" ht="14.5" customHeight="1" x14ac:dyDescent="0.15">
      <c r="E154" s="790" t="s">
        <v>276</v>
      </c>
      <c r="F154" s="779">
        <v>344.5</v>
      </c>
      <c r="G154" s="501">
        <v>325</v>
      </c>
      <c r="H154" s="321"/>
    </row>
    <row r="155" spans="5:42" ht="14.5" customHeight="1" x14ac:dyDescent="0.15">
      <c r="E155" s="790" t="s">
        <v>277</v>
      </c>
      <c r="F155" s="779">
        <v>540.6</v>
      </c>
      <c r="G155" s="501">
        <v>510</v>
      </c>
      <c r="H155" s="321"/>
    </row>
    <row r="156" spans="5:42" ht="14.5" customHeight="1" x14ac:dyDescent="0.15">
      <c r="E156" s="790" t="s">
        <v>278</v>
      </c>
      <c r="F156" s="779">
        <v>622.22</v>
      </c>
      <c r="G156" s="501">
        <v>587</v>
      </c>
      <c r="H156" s="321"/>
    </row>
    <row r="157" spans="5:42" ht="14.5" customHeight="1" x14ac:dyDescent="0.15">
      <c r="E157" s="790" t="s">
        <v>279</v>
      </c>
      <c r="F157" s="779">
        <v>578.76</v>
      </c>
      <c r="G157" s="501">
        <v>546</v>
      </c>
      <c r="H157" s="321"/>
    </row>
    <row r="158" spans="5:42" ht="14.5" customHeight="1" x14ac:dyDescent="0.15">
      <c r="E158" s="790" t="s">
        <v>280</v>
      </c>
      <c r="F158" s="779">
        <v>524.70000000000005</v>
      </c>
      <c r="G158" s="501">
        <v>495</v>
      </c>
      <c r="H158" s="321"/>
    </row>
    <row r="159" spans="5:42" ht="14.5" customHeight="1" x14ac:dyDescent="0.15">
      <c r="E159" s="790" t="s">
        <v>281</v>
      </c>
      <c r="F159" s="779">
        <v>940.22</v>
      </c>
      <c r="G159" s="501">
        <v>887</v>
      </c>
      <c r="H159" s="321"/>
    </row>
    <row r="160" spans="5:42" ht="14.5" customHeight="1" x14ac:dyDescent="0.15">
      <c r="E160" s="790" t="s">
        <v>282</v>
      </c>
      <c r="F160" s="779">
        <v>858.6</v>
      </c>
      <c r="G160" s="501">
        <v>810</v>
      </c>
      <c r="H160" s="321"/>
    </row>
    <row r="161" spans="5:8" ht="14.5" customHeight="1" x14ac:dyDescent="0.15">
      <c r="E161" s="790" t="s">
        <v>283</v>
      </c>
      <c r="F161" s="779">
        <v>858.6</v>
      </c>
      <c r="G161" s="501">
        <v>810</v>
      </c>
      <c r="H161" s="321"/>
    </row>
    <row r="162" spans="5:8" ht="14.5" customHeight="1" x14ac:dyDescent="0.15">
      <c r="E162" s="790" t="s">
        <v>284</v>
      </c>
      <c r="F162" s="779">
        <v>858.6</v>
      </c>
      <c r="G162" s="501">
        <v>810</v>
      </c>
      <c r="H162" s="321"/>
    </row>
    <row r="163" spans="5:8" ht="14.5" customHeight="1" x14ac:dyDescent="0.15">
      <c r="E163" s="790" t="s">
        <v>285</v>
      </c>
      <c r="F163" s="779">
        <v>906.30000000000007</v>
      </c>
      <c r="G163" s="501">
        <v>855</v>
      </c>
      <c r="H163" s="321"/>
    </row>
    <row r="164" spans="5:8" ht="14.5" customHeight="1" x14ac:dyDescent="0.15">
      <c r="E164" s="790" t="s">
        <v>286</v>
      </c>
      <c r="F164" s="779">
        <v>396.44</v>
      </c>
      <c r="G164" s="501">
        <v>374</v>
      </c>
      <c r="H164" s="321"/>
    </row>
    <row r="165" spans="5:8" ht="14.5" customHeight="1" x14ac:dyDescent="0.15">
      <c r="E165" s="790" t="s">
        <v>287</v>
      </c>
      <c r="F165" s="779">
        <v>1203.0999999999999</v>
      </c>
      <c r="G165" s="501">
        <v>1135</v>
      </c>
      <c r="H165" s="321"/>
    </row>
    <row r="166" spans="5:8" ht="14.5" customHeight="1" x14ac:dyDescent="0.15">
      <c r="E166" s="790" t="s">
        <v>288</v>
      </c>
      <c r="F166" s="779">
        <v>424</v>
      </c>
      <c r="G166" s="501">
        <v>400</v>
      </c>
      <c r="H166" s="321"/>
    </row>
    <row r="167" spans="5:8" ht="14.5" customHeight="1" x14ac:dyDescent="0.15">
      <c r="E167" s="790" t="s">
        <v>289</v>
      </c>
      <c r="F167" s="779">
        <v>371</v>
      </c>
      <c r="G167" s="501">
        <v>350</v>
      </c>
      <c r="H167" s="321"/>
    </row>
    <row r="168" spans="5:8" ht="14.5" customHeight="1" x14ac:dyDescent="0.15">
      <c r="E168" s="790" t="s">
        <v>290</v>
      </c>
      <c r="F168" s="779">
        <v>940.22</v>
      </c>
      <c r="G168" s="501">
        <v>887</v>
      </c>
      <c r="H168" s="321"/>
    </row>
    <row r="169" spans="5:8" ht="14.5" customHeight="1" x14ac:dyDescent="0.15">
      <c r="E169" s="790" t="s">
        <v>291</v>
      </c>
      <c r="F169" s="779">
        <v>545.9</v>
      </c>
      <c r="G169" s="501">
        <v>515</v>
      </c>
      <c r="H169" s="321"/>
    </row>
    <row r="170" spans="5:8" ht="14.5" customHeight="1" x14ac:dyDescent="0.15">
      <c r="E170" s="790" t="s">
        <v>292</v>
      </c>
      <c r="F170" s="779">
        <v>355.1</v>
      </c>
      <c r="G170" s="501">
        <v>335</v>
      </c>
      <c r="H170" s="321"/>
    </row>
    <row r="171" spans="5:8" ht="14.5" customHeight="1" x14ac:dyDescent="0.15">
      <c r="E171" s="790" t="s">
        <v>293</v>
      </c>
      <c r="F171" s="779">
        <v>1038.8</v>
      </c>
      <c r="G171" s="501">
        <v>980</v>
      </c>
      <c r="H171" s="321"/>
    </row>
    <row r="172" spans="5:8" ht="14.5" customHeight="1" x14ac:dyDescent="0.15">
      <c r="E172" s="790" t="s">
        <v>294</v>
      </c>
      <c r="F172" s="779">
        <v>731.40000000000009</v>
      </c>
      <c r="G172" s="501">
        <v>690</v>
      </c>
      <c r="H172" s="321"/>
    </row>
    <row r="173" spans="5:8" ht="14.5" customHeight="1" x14ac:dyDescent="0.15">
      <c r="E173" s="790" t="s">
        <v>295</v>
      </c>
      <c r="F173" s="779">
        <v>355.1</v>
      </c>
      <c r="G173" s="501">
        <v>335</v>
      </c>
      <c r="H173" s="321"/>
    </row>
    <row r="174" spans="5:8" ht="14.5" customHeight="1" x14ac:dyDescent="0.15">
      <c r="E174" s="790" t="s">
        <v>296</v>
      </c>
      <c r="F174" s="779">
        <v>386.9</v>
      </c>
      <c r="G174" s="501">
        <v>365</v>
      </c>
      <c r="H174" s="321"/>
    </row>
    <row r="175" spans="5:8" ht="14.5" customHeight="1" x14ac:dyDescent="0.15">
      <c r="E175" s="790" t="s">
        <v>297</v>
      </c>
      <c r="F175" s="779">
        <v>1203.0999999999999</v>
      </c>
      <c r="G175" s="501">
        <v>1135</v>
      </c>
      <c r="H175" s="321"/>
    </row>
    <row r="176" spans="5:8" ht="14.5" customHeight="1" x14ac:dyDescent="0.15">
      <c r="E176" s="790" t="s">
        <v>298</v>
      </c>
      <c r="F176" s="779">
        <v>906.30000000000007</v>
      </c>
      <c r="G176" s="501">
        <v>855</v>
      </c>
      <c r="H176" s="321"/>
    </row>
    <row r="177" spans="5:8" ht="14.5" customHeight="1" x14ac:dyDescent="0.15">
      <c r="E177" s="790" t="s">
        <v>299</v>
      </c>
      <c r="F177" s="779">
        <v>940.22</v>
      </c>
      <c r="G177" s="501">
        <v>887</v>
      </c>
      <c r="H177" s="321"/>
    </row>
    <row r="178" spans="5:8" ht="14.5" customHeight="1" x14ac:dyDescent="0.15">
      <c r="E178" s="790" t="s">
        <v>300</v>
      </c>
      <c r="F178" s="779">
        <v>858.6</v>
      </c>
      <c r="G178" s="501">
        <v>810</v>
      </c>
      <c r="H178" s="321"/>
    </row>
    <row r="179" spans="5:8" ht="14.5" customHeight="1" x14ac:dyDescent="0.15">
      <c r="E179" s="790" t="s">
        <v>301</v>
      </c>
      <c r="F179" s="779">
        <v>540.6</v>
      </c>
      <c r="G179" s="501">
        <v>510</v>
      </c>
      <c r="H179" s="321"/>
    </row>
    <row r="180" spans="5:8" ht="14.5" customHeight="1" x14ac:dyDescent="0.15">
      <c r="E180" s="790" t="s">
        <v>302</v>
      </c>
      <c r="F180" s="779">
        <v>1022.9</v>
      </c>
      <c r="G180" s="501">
        <v>965</v>
      </c>
      <c r="H180" s="321"/>
    </row>
    <row r="181" spans="5:8" ht="14.5" customHeight="1" x14ac:dyDescent="0.15">
      <c r="E181" s="790" t="s">
        <v>1284</v>
      </c>
      <c r="F181" s="779">
        <v>795</v>
      </c>
      <c r="G181" s="501">
        <v>750</v>
      </c>
      <c r="H181" s="321"/>
    </row>
    <row r="182" spans="5:8" ht="14.5" customHeight="1" x14ac:dyDescent="0.15">
      <c r="E182" s="790" t="s">
        <v>303</v>
      </c>
      <c r="F182" s="779">
        <v>540.6</v>
      </c>
      <c r="G182" s="501">
        <v>510</v>
      </c>
      <c r="H182" s="321"/>
    </row>
    <row r="183" spans="5:8" ht="14.5" customHeight="1" x14ac:dyDescent="0.15">
      <c r="E183" s="790" t="s">
        <v>304</v>
      </c>
      <c r="F183" s="779">
        <v>622.22</v>
      </c>
      <c r="G183" s="501">
        <v>587</v>
      </c>
      <c r="H183" s="321"/>
    </row>
    <row r="184" spans="5:8" ht="14.5" customHeight="1" x14ac:dyDescent="0.15">
      <c r="E184" s="790" t="s">
        <v>305</v>
      </c>
      <c r="F184" s="779">
        <v>651.9</v>
      </c>
      <c r="G184" s="501">
        <v>615</v>
      </c>
      <c r="H184" s="321"/>
    </row>
    <row r="185" spans="5:8" ht="14.5" customHeight="1" x14ac:dyDescent="0.15">
      <c r="E185" s="790" t="s">
        <v>306</v>
      </c>
      <c r="F185" s="779">
        <v>651.9</v>
      </c>
      <c r="G185" s="501">
        <v>615</v>
      </c>
      <c r="H185" s="321"/>
    </row>
    <row r="186" spans="5:8" ht="14.5" customHeight="1" x14ac:dyDescent="0.15">
      <c r="E186" s="790" t="s">
        <v>307</v>
      </c>
      <c r="F186" s="779">
        <v>344.5</v>
      </c>
      <c r="G186" s="501">
        <v>325</v>
      </c>
      <c r="H186" s="321"/>
    </row>
    <row r="187" spans="5:8" ht="14.5" customHeight="1" x14ac:dyDescent="0.15">
      <c r="E187" s="790" t="s">
        <v>308</v>
      </c>
      <c r="F187" s="779">
        <v>906.30000000000007</v>
      </c>
      <c r="G187" s="501">
        <v>855</v>
      </c>
      <c r="H187" s="321"/>
    </row>
    <row r="188" spans="5:8" ht="14.5" customHeight="1" x14ac:dyDescent="0.15">
      <c r="E188" s="790" t="s">
        <v>309</v>
      </c>
      <c r="F188" s="779">
        <v>344.5</v>
      </c>
      <c r="G188" s="501">
        <v>325</v>
      </c>
      <c r="H188" s="321"/>
    </row>
    <row r="189" spans="5:8" ht="14.5" customHeight="1" x14ac:dyDescent="0.15">
      <c r="E189" s="790" t="s">
        <v>310</v>
      </c>
      <c r="F189" s="779">
        <v>386.9</v>
      </c>
      <c r="G189" s="501">
        <v>365</v>
      </c>
      <c r="H189" s="321"/>
    </row>
    <row r="190" spans="5:8" ht="14.5" customHeight="1" x14ac:dyDescent="0.15">
      <c r="E190" s="790" t="s">
        <v>311</v>
      </c>
      <c r="F190" s="779">
        <v>906.30000000000007</v>
      </c>
      <c r="G190" s="501">
        <v>855</v>
      </c>
      <c r="H190" s="321"/>
    </row>
    <row r="191" spans="5:8" ht="14.5" customHeight="1" x14ac:dyDescent="0.15">
      <c r="E191" s="790" t="s">
        <v>1285</v>
      </c>
      <c r="F191" s="779">
        <v>540.6</v>
      </c>
      <c r="G191" s="501">
        <v>510</v>
      </c>
      <c r="H191" s="321"/>
    </row>
    <row r="192" spans="5:8" ht="14.5" customHeight="1" x14ac:dyDescent="0.15">
      <c r="E192" s="790" t="s">
        <v>313</v>
      </c>
      <c r="F192" s="779">
        <v>567.1</v>
      </c>
      <c r="G192" s="501">
        <v>535</v>
      </c>
      <c r="H192" s="321"/>
    </row>
    <row r="193" spans="5:8" ht="14.5" customHeight="1" x14ac:dyDescent="0.15">
      <c r="E193" s="790" t="s">
        <v>314</v>
      </c>
      <c r="F193" s="779">
        <v>386.9</v>
      </c>
      <c r="G193" s="501">
        <v>365</v>
      </c>
      <c r="H193" s="321"/>
    </row>
    <row r="194" spans="5:8" ht="14.5" customHeight="1" x14ac:dyDescent="0.15">
      <c r="E194" s="790" t="s">
        <v>315</v>
      </c>
      <c r="F194" s="779">
        <v>906.30000000000007</v>
      </c>
      <c r="G194" s="501">
        <v>855</v>
      </c>
      <c r="H194" s="321"/>
    </row>
    <row r="195" spans="5:8" ht="14.5" customHeight="1" x14ac:dyDescent="0.15">
      <c r="E195" s="790" t="s">
        <v>316</v>
      </c>
      <c r="F195" s="779">
        <v>376.3</v>
      </c>
      <c r="G195" s="501">
        <v>355</v>
      </c>
      <c r="H195" s="321"/>
    </row>
    <row r="196" spans="5:8" ht="14.5" customHeight="1" x14ac:dyDescent="0.15">
      <c r="E196" s="790" t="s">
        <v>317</v>
      </c>
      <c r="F196" s="779">
        <v>622.22</v>
      </c>
      <c r="G196" s="501">
        <v>587</v>
      </c>
      <c r="H196" s="321"/>
    </row>
    <row r="197" spans="5:8" ht="14.5" customHeight="1" x14ac:dyDescent="0.15">
      <c r="E197" s="790" t="s">
        <v>318</v>
      </c>
      <c r="F197" s="779">
        <v>940.22</v>
      </c>
      <c r="G197" s="501">
        <v>887</v>
      </c>
      <c r="H197" s="321"/>
    </row>
    <row r="198" spans="5:8" ht="14.5" customHeight="1" x14ac:dyDescent="0.15">
      <c r="E198" s="790" t="s">
        <v>319</v>
      </c>
      <c r="F198" s="779">
        <v>901</v>
      </c>
      <c r="G198" s="501">
        <v>850</v>
      </c>
      <c r="H198" s="321"/>
    </row>
    <row r="199" spans="5:8" ht="14.5" customHeight="1" x14ac:dyDescent="0.15">
      <c r="E199" s="320"/>
      <c r="F199" s="779"/>
      <c r="G199" s="501"/>
      <c r="H199" s="321"/>
    </row>
    <row r="200" spans="5:8" ht="14.5" customHeight="1" x14ac:dyDescent="0.15">
      <c r="E200" s="790" t="s">
        <v>320</v>
      </c>
      <c r="F200" s="779">
        <v>540.6</v>
      </c>
      <c r="G200" s="501">
        <v>510</v>
      </c>
      <c r="H200" s="321"/>
    </row>
    <row r="201" spans="5:8" ht="14.5" customHeight="1" x14ac:dyDescent="0.15">
      <c r="E201" s="790" t="s">
        <v>321</v>
      </c>
      <c r="F201" s="779">
        <v>429.3</v>
      </c>
      <c r="G201" s="501">
        <v>405</v>
      </c>
      <c r="H201" s="321"/>
    </row>
    <row r="202" spans="5:8" ht="14.5" customHeight="1" x14ac:dyDescent="0.15">
      <c r="E202" s="790" t="s">
        <v>322</v>
      </c>
      <c r="F202" s="779">
        <v>386.9</v>
      </c>
      <c r="G202" s="501">
        <v>365</v>
      </c>
      <c r="H202" s="321"/>
    </row>
    <row r="203" spans="5:8" ht="14.5" customHeight="1" x14ac:dyDescent="0.15">
      <c r="E203" s="790" t="s">
        <v>323</v>
      </c>
      <c r="F203" s="779">
        <v>646.6</v>
      </c>
      <c r="G203" s="501">
        <v>610</v>
      </c>
      <c r="H203" s="321"/>
    </row>
    <row r="204" spans="5:8" ht="14.5" customHeight="1" x14ac:dyDescent="0.15">
      <c r="E204" s="790" t="s">
        <v>324</v>
      </c>
      <c r="F204" s="779">
        <v>630.70000000000005</v>
      </c>
      <c r="G204" s="501">
        <v>595</v>
      </c>
      <c r="H204" s="321"/>
    </row>
    <row r="205" spans="5:8" ht="14.5" customHeight="1" x14ac:dyDescent="0.15">
      <c r="E205" s="790" t="s">
        <v>325</v>
      </c>
      <c r="F205" s="779">
        <v>906.30000000000007</v>
      </c>
      <c r="G205" s="501">
        <v>855</v>
      </c>
      <c r="H205" s="321"/>
    </row>
    <row r="206" spans="5:8" ht="14.5" customHeight="1" x14ac:dyDescent="0.15">
      <c r="E206" s="790" t="s">
        <v>326</v>
      </c>
      <c r="F206" s="779">
        <v>593.6</v>
      </c>
      <c r="G206" s="501">
        <v>560</v>
      </c>
      <c r="H206" s="321"/>
    </row>
    <row r="207" spans="5:8" ht="14.5" customHeight="1" x14ac:dyDescent="0.15">
      <c r="E207" s="790" t="s">
        <v>327</v>
      </c>
      <c r="F207" s="779">
        <v>895.7</v>
      </c>
      <c r="G207" s="501">
        <v>845</v>
      </c>
      <c r="H207" s="321"/>
    </row>
  </sheetData>
  <mergeCells count="7">
    <mergeCell ref="AV52:AW52"/>
    <mergeCell ref="A1:C1"/>
    <mergeCell ref="BF13:BI13"/>
    <mergeCell ref="BL13:BO13"/>
    <mergeCell ref="AV51:AW51"/>
    <mergeCell ref="BB6:BD6"/>
    <mergeCell ref="A2:C2"/>
  </mergeCells>
  <pageMargins left="0.7" right="0.7" top="0.75" bottom="0.75" header="0.3" footer="0.3"/>
  <pageSetup paperSize="8" orientation="landscape"/>
  <legacyDrawing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563" bestFit="1" customWidth="1"/>
    <col min="2" max="2" width="12" style="563" bestFit="1" customWidth="1"/>
    <col min="3" max="3" width="9.6640625" style="564" customWidth="1"/>
    <col min="4" max="4" width="27.6640625" style="565" bestFit="1" customWidth="1"/>
    <col min="5" max="5" width="18.1640625" style="566" bestFit="1" customWidth="1"/>
    <col min="6" max="6" width="12.33203125" style="536" bestFit="1" customWidth="1"/>
    <col min="7" max="7" width="17.1640625" style="536" bestFit="1" customWidth="1"/>
    <col min="8" max="8" width="25.6640625" style="567" bestFit="1" customWidth="1"/>
    <col min="9" max="9" width="10.83203125" style="567" bestFit="1" customWidth="1"/>
    <col min="10" max="10" width="16.5" style="567" bestFit="1" customWidth="1"/>
    <col min="11" max="11" width="18.1640625" style="567" bestFit="1" customWidth="1"/>
    <col min="12" max="12" width="23.83203125" style="567" bestFit="1" customWidth="1"/>
    <col min="13" max="13" width="21.6640625" style="567" bestFit="1" customWidth="1"/>
    <col min="14" max="14" width="18.33203125" style="567" bestFit="1" customWidth="1"/>
    <col min="15" max="15" width="18.83203125" style="567" bestFit="1" customWidth="1"/>
    <col min="16" max="16" width="15.1640625" style="536" bestFit="1" customWidth="1"/>
    <col min="17" max="17" width="23.5" style="536" bestFit="1" customWidth="1"/>
    <col min="18" max="18" width="14.6640625" style="536" bestFit="1" customWidth="1"/>
    <col min="19" max="19" width="14.5" style="536" bestFit="1" customWidth="1"/>
    <col min="20" max="20" width="10.5" style="536" bestFit="1" customWidth="1"/>
    <col min="21" max="21" width="19.33203125" style="536" bestFit="1" customWidth="1"/>
    <col min="22" max="22" width="16.1640625" style="536" bestFit="1" customWidth="1"/>
    <col min="23" max="23" width="17.33203125" style="536" bestFit="1" customWidth="1"/>
    <col min="24" max="26" width="20.83203125" style="536" customWidth="1"/>
    <col min="27" max="29" width="22.33203125" style="536" customWidth="1"/>
    <col min="30" max="30" width="18.33203125" style="536" bestFit="1" customWidth="1"/>
    <col min="31" max="31" width="18" style="536" customWidth="1"/>
    <col min="32" max="32" width="18.1640625" style="536" customWidth="1"/>
    <col min="33" max="33" width="26.33203125" style="536" customWidth="1"/>
    <col min="34" max="34" width="18.1640625" style="536" customWidth="1"/>
    <col min="35" max="35" width="22.83203125" style="536" customWidth="1"/>
    <col min="36" max="36" width="18" style="539" bestFit="1" customWidth="1"/>
    <col min="37" max="37" width="31.6640625" style="539" bestFit="1" customWidth="1"/>
    <col min="38" max="38" width="39.33203125" style="539" bestFit="1" customWidth="1"/>
    <col min="39" max="39" width="37.6640625" style="539" bestFit="1" customWidth="1"/>
    <col min="40" max="40" width="31" style="539" bestFit="1" customWidth="1"/>
    <col min="41" max="41" width="38.5" style="539" bestFit="1" customWidth="1"/>
    <col min="42" max="42" width="36.83203125" style="539" bestFit="1" customWidth="1"/>
    <col min="43" max="43" width="31.6640625" style="539" bestFit="1" customWidth="1"/>
    <col min="44" max="44" width="39.33203125" style="539" bestFit="1" customWidth="1"/>
    <col min="45" max="45" width="37.5" style="539" bestFit="1" customWidth="1"/>
    <col min="46" max="46" width="8.83203125" style="539" customWidth="1"/>
    <col min="47" max="47" width="8.83203125" style="536" customWidth="1"/>
    <col min="48" max="16384" width="8.83203125" style="536"/>
  </cols>
  <sheetData>
    <row r="1" spans="1:46" s="530" customFormat="1" ht="18" customHeight="1" x14ac:dyDescent="0.15">
      <c r="A1" s="528" t="s">
        <v>54</v>
      </c>
      <c r="B1" s="528" t="s">
        <v>57</v>
      </c>
      <c r="C1" s="528" t="s">
        <v>56</v>
      </c>
      <c r="D1" s="528" t="s">
        <v>1286</v>
      </c>
      <c r="E1" s="528" t="s">
        <v>18</v>
      </c>
      <c r="F1" s="528" t="s">
        <v>1287</v>
      </c>
      <c r="G1" s="528" t="s">
        <v>1288</v>
      </c>
      <c r="H1" s="528" t="s">
        <v>1031</v>
      </c>
      <c r="I1" s="528" t="s">
        <v>1289</v>
      </c>
      <c r="J1" s="529" t="s">
        <v>1290</v>
      </c>
      <c r="K1" s="529" t="s">
        <v>1291</v>
      </c>
      <c r="L1" s="529" t="s">
        <v>1292</v>
      </c>
      <c r="M1" s="529" t="s">
        <v>1293</v>
      </c>
      <c r="N1" s="529" t="s">
        <v>1294</v>
      </c>
      <c r="O1" s="529" t="s">
        <v>498</v>
      </c>
      <c r="P1" s="529" t="s">
        <v>1295</v>
      </c>
      <c r="Q1" s="529" t="s">
        <v>1296</v>
      </c>
      <c r="R1" s="529" t="s">
        <v>1297</v>
      </c>
      <c r="S1" s="528" t="s">
        <v>597</v>
      </c>
      <c r="T1" s="528" t="s">
        <v>1298</v>
      </c>
      <c r="U1" s="529" t="s">
        <v>1299</v>
      </c>
      <c r="V1" s="529" t="s">
        <v>1300</v>
      </c>
      <c r="W1" s="528" t="s">
        <v>1301</v>
      </c>
      <c r="X1" s="528" t="s">
        <v>988</v>
      </c>
      <c r="Y1" s="528" t="s">
        <v>1302</v>
      </c>
      <c r="Z1" s="528" t="s">
        <v>1303</v>
      </c>
      <c r="AA1" s="528" t="s">
        <v>938</v>
      </c>
      <c r="AB1" s="528" t="s">
        <v>1304</v>
      </c>
      <c r="AC1" s="528" t="s">
        <v>927</v>
      </c>
      <c r="AD1" s="529" t="s">
        <v>1305</v>
      </c>
      <c r="AI1" s="531"/>
      <c r="AJ1" s="531"/>
      <c r="AK1" s="532"/>
      <c r="AL1" s="532"/>
      <c r="AM1" s="532"/>
      <c r="AN1" s="532"/>
      <c r="AO1" s="532"/>
      <c r="AP1" s="532"/>
      <c r="AQ1" s="532"/>
      <c r="AR1" s="532"/>
      <c r="AS1" s="532"/>
      <c r="AT1" s="532"/>
    </row>
    <row r="2" spans="1:46" ht="17" customHeight="1" thickBot="1" x14ac:dyDescent="0.25">
      <c r="A2" s="533" t="s">
        <v>1060</v>
      </c>
      <c r="B2" s="533">
        <v>1000</v>
      </c>
      <c r="C2" s="533">
        <v>1000</v>
      </c>
      <c r="D2" s="533" t="str">
        <f t="shared" ref="D2:D46" si="0">$A2&amp;B2&amp;C2</f>
        <v>UVX10001000</v>
      </c>
      <c r="E2" s="907">
        <f t="shared" ref="E2:E65" si="1">SUM(G2:AD2)</f>
        <v>1025.1896574</v>
      </c>
      <c r="F2" s="534">
        <v>16</v>
      </c>
      <c r="G2" s="535">
        <f>F2*CCBASE!$B$51</f>
        <v>576</v>
      </c>
      <c r="H2" s="535">
        <f>CCBASE!$I$11*B2/1000</f>
        <v>160.99296219999999</v>
      </c>
      <c r="I2" s="535"/>
      <c r="J2" s="535"/>
      <c r="K2" s="535"/>
      <c r="L2" s="534"/>
      <c r="M2" s="535">
        <f>CCBASE!$I$15*B2/1000</f>
        <v>79.84588500000001</v>
      </c>
      <c r="N2" s="535"/>
      <c r="O2" s="535"/>
      <c r="P2" s="535">
        <f>CCBASE!$I$10</f>
        <v>30.661922000000001</v>
      </c>
      <c r="Q2" s="535">
        <f>CCBASE!$I$51</f>
        <v>2.9</v>
      </c>
      <c r="R2" s="535">
        <f>CCBASE!$I$4</f>
        <v>8.3986041999999994</v>
      </c>
      <c r="S2" s="535">
        <f>CCBASE!$I$8</f>
        <v>16.25526</v>
      </c>
      <c r="T2" s="534"/>
      <c r="U2" s="535"/>
      <c r="V2" s="535"/>
      <c r="W2" s="535">
        <f>CCBASE!$I$40*B2/1000</f>
        <v>41.308039999999998</v>
      </c>
      <c r="X2" s="535"/>
      <c r="Y2" s="535"/>
      <c r="Z2" s="535"/>
      <c r="AA2" s="535"/>
      <c r="AB2" s="535"/>
      <c r="AC2" s="535"/>
      <c r="AD2" s="535">
        <f>CCBASE!$I$32*2</f>
        <v>108.826984</v>
      </c>
      <c r="AI2" s="537"/>
      <c r="AJ2" s="537"/>
      <c r="AK2" s="538"/>
      <c r="AL2" s="538"/>
      <c r="AM2" s="538"/>
      <c r="AN2" s="538"/>
      <c r="AO2" s="538"/>
      <c r="AP2" s="538"/>
      <c r="AQ2" s="538"/>
      <c r="AR2" s="538"/>
      <c r="AS2" s="538"/>
    </row>
    <row r="3" spans="1:46" x14ac:dyDescent="0.2">
      <c r="A3" s="533" t="s">
        <v>1060</v>
      </c>
      <c r="B3" s="533">
        <v>1250</v>
      </c>
      <c r="C3" s="533">
        <v>1000</v>
      </c>
      <c r="D3" s="533" t="str">
        <f t="shared" si="0"/>
        <v>UVX12501000</v>
      </c>
      <c r="E3" s="907">
        <f t="shared" si="1"/>
        <v>1095.7263791999999</v>
      </c>
      <c r="F3" s="534">
        <v>16</v>
      </c>
      <c r="G3" s="535">
        <f>F3*CCBASE!$B$51</f>
        <v>576</v>
      </c>
      <c r="H3" s="535">
        <f>CCBASE!$I$11*B3/1000</f>
        <v>201.24120274999999</v>
      </c>
      <c r="I3" s="535"/>
      <c r="J3" s="535"/>
      <c r="K3" s="535"/>
      <c r="L3" s="534"/>
      <c r="M3" s="535">
        <f>CCBASE!$I$15*B3/1000</f>
        <v>99.807356250000012</v>
      </c>
      <c r="N3" s="535"/>
      <c r="O3" s="535"/>
      <c r="P3" s="535">
        <f>CCBASE!$I$10</f>
        <v>30.661922000000001</v>
      </c>
      <c r="Q3" s="535">
        <f>CCBASE!$I$51</f>
        <v>2.9</v>
      </c>
      <c r="R3" s="535">
        <f>CCBASE!$I$4</f>
        <v>8.3986041999999994</v>
      </c>
      <c r="S3" s="535">
        <f>CCBASE!$I$8</f>
        <v>16.25526</v>
      </c>
      <c r="T3" s="534"/>
      <c r="U3" s="535"/>
      <c r="V3" s="535"/>
      <c r="W3" s="535">
        <f>CCBASE!$I$40*B3/1000</f>
        <v>51.635049999999993</v>
      </c>
      <c r="X3" s="535"/>
      <c r="Y3" s="535"/>
      <c r="Z3" s="535"/>
      <c r="AA3" s="535"/>
      <c r="AB3" s="535"/>
      <c r="AC3" s="535"/>
      <c r="AD3" s="535">
        <f>CCBASE!$I$32*2</f>
        <v>108.826984</v>
      </c>
      <c r="AF3" s="908" t="s">
        <v>775</v>
      </c>
      <c r="AG3" s="909"/>
      <c r="AH3" s="910"/>
      <c r="AI3" s="537"/>
      <c r="AJ3" s="537"/>
      <c r="AK3" s="538"/>
      <c r="AL3" s="538"/>
      <c r="AM3" s="538"/>
      <c r="AN3" s="538"/>
      <c r="AO3" s="538"/>
      <c r="AP3" s="538"/>
      <c r="AQ3" s="538"/>
      <c r="AR3" s="538"/>
      <c r="AS3" s="538"/>
    </row>
    <row r="4" spans="1:46" x14ac:dyDescent="0.2">
      <c r="A4" s="533" t="s">
        <v>1060</v>
      </c>
      <c r="B4" s="533">
        <v>1500</v>
      </c>
      <c r="C4" s="533">
        <v>1000</v>
      </c>
      <c r="D4" s="533" t="str">
        <f t="shared" si="0"/>
        <v>UVX15001000</v>
      </c>
      <c r="E4" s="907">
        <f t="shared" si="1"/>
        <v>1166.263101</v>
      </c>
      <c r="F4" s="534">
        <v>16</v>
      </c>
      <c r="G4" s="535">
        <f>F4*CCBASE!$B$51</f>
        <v>576</v>
      </c>
      <c r="H4" s="535">
        <f>CCBASE!$I$11*B4/1000</f>
        <v>241.48944329999998</v>
      </c>
      <c r="I4" s="535"/>
      <c r="J4" s="535"/>
      <c r="K4" s="535"/>
      <c r="L4" s="534"/>
      <c r="M4" s="535">
        <f>CCBASE!$I$15*B4/1000</f>
        <v>119.76882750000001</v>
      </c>
      <c r="N4" s="535"/>
      <c r="O4" s="535"/>
      <c r="P4" s="535">
        <f>CCBASE!$I$10</f>
        <v>30.661922000000001</v>
      </c>
      <c r="Q4" s="535">
        <f>CCBASE!$I$51</f>
        <v>2.9</v>
      </c>
      <c r="R4" s="535">
        <f>CCBASE!$I$4</f>
        <v>8.3986041999999994</v>
      </c>
      <c r="S4" s="535">
        <f>CCBASE!$I$8</f>
        <v>16.25526</v>
      </c>
      <c r="T4" s="534"/>
      <c r="U4" s="535"/>
      <c r="V4" s="535"/>
      <c r="W4" s="535">
        <f>CCBASE!$I$40*B4/1000</f>
        <v>61.962060000000001</v>
      </c>
      <c r="X4" s="535"/>
      <c r="Y4" s="535"/>
      <c r="Z4" s="535"/>
      <c r="AA4" s="535"/>
      <c r="AB4" s="535"/>
      <c r="AC4" s="535"/>
      <c r="AD4" s="535">
        <f>CCBASE!$I$32*2</f>
        <v>108.826984</v>
      </c>
      <c r="AF4" s="911" t="s">
        <v>372</v>
      </c>
      <c r="AG4" s="912" t="s">
        <v>16</v>
      </c>
      <c r="AH4" s="913"/>
      <c r="AI4" s="537"/>
      <c r="AJ4" s="537"/>
      <c r="AK4" s="538"/>
      <c r="AL4" s="538"/>
      <c r="AM4" s="538"/>
      <c r="AN4" s="538"/>
      <c r="AO4" s="538"/>
      <c r="AP4" s="538"/>
      <c r="AQ4" s="538"/>
      <c r="AR4" s="538"/>
      <c r="AS4" s="538"/>
    </row>
    <row r="5" spans="1:46" ht="17" customHeight="1" thickBot="1" x14ac:dyDescent="0.25">
      <c r="A5" s="533" t="s">
        <v>1060</v>
      </c>
      <c r="B5" s="533">
        <v>1750</v>
      </c>
      <c r="C5" s="533">
        <v>1000</v>
      </c>
      <c r="D5" s="533" t="str">
        <f t="shared" si="0"/>
        <v>UVX17501000</v>
      </c>
      <c r="E5" s="907">
        <f t="shared" si="1"/>
        <v>1236.7998227999999</v>
      </c>
      <c r="F5" s="534">
        <v>16</v>
      </c>
      <c r="G5" s="535">
        <f>F5*CCBASE!$B$51</f>
        <v>576</v>
      </c>
      <c r="H5" s="535">
        <f>CCBASE!$I$11*B5/1000</f>
        <v>281.73768385</v>
      </c>
      <c r="I5" s="535"/>
      <c r="J5" s="535"/>
      <c r="K5" s="535"/>
      <c r="L5" s="534"/>
      <c r="M5" s="535">
        <f>CCBASE!$I$15*B5/1000</f>
        <v>139.73029875</v>
      </c>
      <c r="N5" s="535"/>
      <c r="O5" s="535"/>
      <c r="P5" s="535">
        <f>CCBASE!$I$10</f>
        <v>30.661922000000001</v>
      </c>
      <c r="Q5" s="535">
        <f>CCBASE!$I$51</f>
        <v>2.9</v>
      </c>
      <c r="R5" s="535">
        <f>CCBASE!$I$4</f>
        <v>8.3986041999999994</v>
      </c>
      <c r="S5" s="535">
        <f>CCBASE!$I$8</f>
        <v>16.25526</v>
      </c>
      <c r="T5" s="534"/>
      <c r="U5" s="535"/>
      <c r="V5" s="535"/>
      <c r="W5" s="535">
        <f>CCBASE!$I$40*B5/1000</f>
        <v>72.289069999999995</v>
      </c>
      <c r="X5" s="535"/>
      <c r="Y5" s="535"/>
      <c r="Z5" s="535"/>
      <c r="AA5" s="535"/>
      <c r="AB5" s="535"/>
      <c r="AC5" s="535"/>
      <c r="AD5" s="535">
        <f>CCBASE!$I$32*2</f>
        <v>108.826984</v>
      </c>
      <c r="AF5" s="914">
        <v>45658</v>
      </c>
      <c r="AG5" s="915">
        <v>0.06</v>
      </c>
      <c r="AH5" s="916" t="s">
        <v>373</v>
      </c>
      <c r="AI5" s="537"/>
      <c r="AJ5" s="537"/>
      <c r="AK5" s="538"/>
      <c r="AL5" s="538"/>
      <c r="AM5" s="538"/>
      <c r="AN5" s="538"/>
      <c r="AO5" s="538"/>
      <c r="AP5" s="538"/>
      <c r="AQ5" s="538"/>
      <c r="AR5" s="538"/>
      <c r="AS5" s="538"/>
    </row>
    <row r="6" spans="1:46" x14ac:dyDescent="0.2">
      <c r="A6" s="533" t="s">
        <v>1060</v>
      </c>
      <c r="B6" s="533">
        <v>2000</v>
      </c>
      <c r="C6" s="533">
        <v>1000</v>
      </c>
      <c r="D6" s="533" t="str">
        <f t="shared" si="0"/>
        <v>UVX20001000</v>
      </c>
      <c r="E6" s="907">
        <f t="shared" si="1"/>
        <v>1316.3857448999997</v>
      </c>
      <c r="F6" s="534">
        <v>16</v>
      </c>
      <c r="G6" s="535">
        <f>F6*CCBASE!$B$51</f>
        <v>576</v>
      </c>
      <c r="H6" s="535">
        <f>CCBASE!$I$11*B6/1000</f>
        <v>321.98592439999999</v>
      </c>
      <c r="I6" s="535"/>
      <c r="J6" s="535"/>
      <c r="K6" s="535"/>
      <c r="L6" s="534"/>
      <c r="M6" s="535">
        <f>CCBASE!$I$15*B6/1000</f>
        <v>159.69177000000002</v>
      </c>
      <c r="N6" s="535"/>
      <c r="O6" s="535"/>
      <c r="P6" s="535">
        <f>CCBASE!$I$9</f>
        <v>39.7111223</v>
      </c>
      <c r="Q6" s="535">
        <f>CCBASE!$I$51</f>
        <v>2.9</v>
      </c>
      <c r="R6" s="535">
        <f>CCBASE!$I$4</f>
        <v>8.3986041999999994</v>
      </c>
      <c r="S6" s="535">
        <f>CCBASE!$I$8</f>
        <v>16.25526</v>
      </c>
      <c r="T6" s="534"/>
      <c r="U6" s="535"/>
      <c r="V6" s="535"/>
      <c r="W6" s="535">
        <f>CCBASE!$I$40*B6/1000</f>
        <v>82.616079999999997</v>
      </c>
      <c r="X6" s="535"/>
      <c r="Y6" s="535"/>
      <c r="Z6" s="535"/>
      <c r="AA6" s="535"/>
      <c r="AB6" s="535"/>
      <c r="AC6" s="535"/>
      <c r="AD6" s="535">
        <f>CCBASE!$I$32*2</f>
        <v>108.826984</v>
      </c>
      <c r="AI6" s="537"/>
      <c r="AJ6" s="537"/>
      <c r="AN6" s="538"/>
      <c r="AO6" s="538"/>
      <c r="AP6" s="538"/>
      <c r="AQ6" s="538"/>
      <c r="AR6" s="538"/>
      <c r="AS6" s="538"/>
    </row>
    <row r="7" spans="1:46" x14ac:dyDescent="0.2">
      <c r="A7" s="533" t="s">
        <v>1060</v>
      </c>
      <c r="B7" s="533">
        <v>2250</v>
      </c>
      <c r="C7" s="533">
        <v>1000</v>
      </c>
      <c r="D7" s="533" t="str">
        <f t="shared" si="0"/>
        <v>UVX22501000</v>
      </c>
      <c r="E7" s="907">
        <f t="shared" si="1"/>
        <v>1458.9224666999999</v>
      </c>
      <c r="F7" s="534">
        <v>18</v>
      </c>
      <c r="G7" s="535">
        <f>F7*CCBASE!$B$51</f>
        <v>648</v>
      </c>
      <c r="H7" s="535">
        <f>CCBASE!$I$11*B7/1000</f>
        <v>362.23416494999998</v>
      </c>
      <c r="I7" s="535"/>
      <c r="J7" s="535"/>
      <c r="K7" s="535"/>
      <c r="L7" s="534"/>
      <c r="M7" s="535">
        <f>CCBASE!$I$15*B7/1000</f>
        <v>179.65324125000001</v>
      </c>
      <c r="N7" s="535"/>
      <c r="O7" s="535"/>
      <c r="P7" s="535">
        <f>CCBASE!$I$9</f>
        <v>39.7111223</v>
      </c>
      <c r="Q7" s="535">
        <f>CCBASE!$I$51</f>
        <v>2.9</v>
      </c>
      <c r="R7" s="535">
        <f>CCBASE!$I$4</f>
        <v>8.3986041999999994</v>
      </c>
      <c r="S7" s="535">
        <f>CCBASE!$I$8</f>
        <v>16.25526</v>
      </c>
      <c r="T7" s="534"/>
      <c r="U7" s="535"/>
      <c r="V7" s="535"/>
      <c r="W7" s="535">
        <f>CCBASE!$I$40*B7/1000</f>
        <v>92.943089999999998</v>
      </c>
      <c r="X7" s="535"/>
      <c r="Y7" s="535"/>
      <c r="Z7" s="535"/>
      <c r="AA7" s="535"/>
      <c r="AB7" s="535"/>
      <c r="AC7" s="535"/>
      <c r="AD7" s="535">
        <f>CCBASE!$I$32*2</f>
        <v>108.826984</v>
      </c>
      <c r="AI7" s="537"/>
      <c r="AJ7" s="537"/>
      <c r="AN7" s="538"/>
      <c r="AO7" s="538"/>
      <c r="AP7" s="538"/>
      <c r="AQ7" s="538"/>
      <c r="AR7" s="538"/>
      <c r="AS7" s="538"/>
    </row>
    <row r="8" spans="1:46" x14ac:dyDescent="0.2">
      <c r="A8" s="533" t="s">
        <v>1060</v>
      </c>
      <c r="B8" s="533">
        <v>2500</v>
      </c>
      <c r="C8" s="533">
        <v>1000</v>
      </c>
      <c r="D8" s="533" t="str">
        <f t="shared" si="0"/>
        <v>UVX25001000</v>
      </c>
      <c r="E8" s="907">
        <f t="shared" si="1"/>
        <v>1529.4591884999998</v>
      </c>
      <c r="F8" s="534">
        <v>18</v>
      </c>
      <c r="G8" s="535">
        <f>F8*CCBASE!$B$51</f>
        <v>648</v>
      </c>
      <c r="H8" s="535">
        <f>CCBASE!$I$11*B8/1000</f>
        <v>402.48240549999997</v>
      </c>
      <c r="I8" s="535"/>
      <c r="J8" s="535"/>
      <c r="K8" s="535"/>
      <c r="L8" s="534"/>
      <c r="M8" s="535">
        <f>CCBASE!$I$15*B8/1000</f>
        <v>199.61471250000002</v>
      </c>
      <c r="N8" s="535"/>
      <c r="O8" s="535"/>
      <c r="P8" s="535">
        <f>CCBASE!$I$9</f>
        <v>39.7111223</v>
      </c>
      <c r="Q8" s="535">
        <f>CCBASE!$I$51</f>
        <v>2.9</v>
      </c>
      <c r="R8" s="535">
        <f>CCBASE!$I$4</f>
        <v>8.3986041999999994</v>
      </c>
      <c r="S8" s="535">
        <f>CCBASE!$I$8</f>
        <v>16.25526</v>
      </c>
      <c r="T8" s="534"/>
      <c r="U8" s="535"/>
      <c r="V8" s="535"/>
      <c r="W8" s="535">
        <f>CCBASE!$I$40*B8/1000</f>
        <v>103.27009999999999</v>
      </c>
      <c r="X8" s="535"/>
      <c r="Y8" s="535"/>
      <c r="Z8" s="535"/>
      <c r="AA8" s="535"/>
      <c r="AB8" s="535"/>
      <c r="AC8" s="535"/>
      <c r="AD8" s="535">
        <f>CCBASE!$I$32*2</f>
        <v>108.826984</v>
      </c>
      <c r="AI8" s="537"/>
      <c r="AJ8" s="537"/>
      <c r="AN8" s="538"/>
      <c r="AO8" s="538"/>
      <c r="AP8" s="538"/>
      <c r="AQ8" s="538"/>
      <c r="AR8" s="538"/>
      <c r="AS8" s="538"/>
    </row>
    <row r="9" spans="1:46" x14ac:dyDescent="0.2">
      <c r="A9" s="533" t="s">
        <v>1060</v>
      </c>
      <c r="B9" s="533">
        <v>2750</v>
      </c>
      <c r="C9" s="533">
        <v>1000</v>
      </c>
      <c r="D9" s="533" t="str">
        <f t="shared" si="0"/>
        <v>UVX27501000</v>
      </c>
      <c r="E9" s="907">
        <f t="shared" si="1"/>
        <v>1599.9959102999997</v>
      </c>
      <c r="F9" s="534">
        <v>18</v>
      </c>
      <c r="G9" s="535">
        <f>F9*CCBASE!$B$51</f>
        <v>648</v>
      </c>
      <c r="H9" s="535">
        <f>CCBASE!$I$11*B9/1000</f>
        <v>442.73064604999996</v>
      </c>
      <c r="I9" s="535"/>
      <c r="J9" s="535"/>
      <c r="K9" s="535"/>
      <c r="L9" s="534"/>
      <c r="M9" s="535">
        <f>CCBASE!$I$15*B9/1000</f>
        <v>219.57618375000001</v>
      </c>
      <c r="N9" s="535"/>
      <c r="O9" s="535"/>
      <c r="P9" s="535">
        <f>CCBASE!$I$9</f>
        <v>39.7111223</v>
      </c>
      <c r="Q9" s="535">
        <f>CCBASE!$I$51</f>
        <v>2.9</v>
      </c>
      <c r="R9" s="535">
        <f>CCBASE!$I$4</f>
        <v>8.3986041999999994</v>
      </c>
      <c r="S9" s="535">
        <f>CCBASE!$I$8</f>
        <v>16.25526</v>
      </c>
      <c r="T9" s="534"/>
      <c r="U9" s="535"/>
      <c r="V9" s="535"/>
      <c r="W9" s="535">
        <f>CCBASE!$I$40*B9/1000</f>
        <v>113.59711</v>
      </c>
      <c r="X9" s="535"/>
      <c r="Y9" s="535"/>
      <c r="Z9" s="535"/>
      <c r="AA9" s="535"/>
      <c r="AB9" s="535"/>
      <c r="AC9" s="535"/>
      <c r="AD9" s="535">
        <f>CCBASE!$I$32*2</f>
        <v>108.826984</v>
      </c>
      <c r="AI9" s="537"/>
      <c r="AJ9" s="537"/>
      <c r="AN9" s="538"/>
      <c r="AO9" s="538"/>
      <c r="AP9" s="538"/>
      <c r="AQ9" s="538"/>
      <c r="AR9" s="538"/>
      <c r="AS9" s="538"/>
    </row>
    <row r="10" spans="1:46" x14ac:dyDescent="0.2">
      <c r="A10" s="533" t="s">
        <v>1060</v>
      </c>
      <c r="B10" s="533">
        <v>3000</v>
      </c>
      <c r="C10" s="533">
        <v>1000</v>
      </c>
      <c r="D10" s="533" t="str">
        <f t="shared" si="0"/>
        <v>UVX30001000</v>
      </c>
      <c r="E10" s="907">
        <f t="shared" si="1"/>
        <v>1670.5326320999998</v>
      </c>
      <c r="F10" s="534">
        <v>18</v>
      </c>
      <c r="G10" s="535">
        <f>F10*CCBASE!$B$51</f>
        <v>648</v>
      </c>
      <c r="H10" s="535">
        <f>CCBASE!$I$11*B10/1000</f>
        <v>482.97888659999995</v>
      </c>
      <c r="I10" s="535"/>
      <c r="J10" s="535"/>
      <c r="K10" s="535"/>
      <c r="L10" s="534"/>
      <c r="M10" s="535">
        <f>CCBASE!$I$15*B10/1000</f>
        <v>239.53765500000003</v>
      </c>
      <c r="N10" s="535"/>
      <c r="O10" s="535"/>
      <c r="P10" s="535">
        <f>CCBASE!$I$9</f>
        <v>39.7111223</v>
      </c>
      <c r="Q10" s="535">
        <f>CCBASE!$I$51</f>
        <v>2.9</v>
      </c>
      <c r="R10" s="535">
        <f>CCBASE!$I$4</f>
        <v>8.3986041999999994</v>
      </c>
      <c r="S10" s="535">
        <f>CCBASE!$I$8</f>
        <v>16.25526</v>
      </c>
      <c r="T10" s="534"/>
      <c r="U10" s="535"/>
      <c r="V10" s="535"/>
      <c r="W10" s="535">
        <f>CCBASE!$I$40*B10/1000</f>
        <v>123.92412</v>
      </c>
      <c r="X10" s="535"/>
      <c r="Y10" s="535"/>
      <c r="Z10" s="535"/>
      <c r="AA10" s="535"/>
      <c r="AB10" s="535"/>
      <c r="AC10" s="535"/>
      <c r="AD10" s="535">
        <f>CCBASE!$I$32*2</f>
        <v>108.826984</v>
      </c>
      <c r="AI10" s="537"/>
      <c r="AJ10" s="537"/>
      <c r="AN10" s="538"/>
      <c r="AO10" s="538"/>
      <c r="AP10" s="538"/>
      <c r="AQ10" s="538"/>
      <c r="AR10" s="538"/>
      <c r="AS10" s="538"/>
    </row>
    <row r="11" spans="1:46" x14ac:dyDescent="0.2">
      <c r="A11" s="533" t="s">
        <v>1060</v>
      </c>
      <c r="B11" s="533">
        <v>1000</v>
      </c>
      <c r="C11" s="533">
        <v>1250</v>
      </c>
      <c r="D11" s="533" t="str">
        <f t="shared" si="0"/>
        <v>UVX10001250</v>
      </c>
      <c r="E11" s="907">
        <f t="shared" si="1"/>
        <v>1025.1896574</v>
      </c>
      <c r="F11" s="534">
        <v>16</v>
      </c>
      <c r="G11" s="535">
        <f>F11*CCBASE!$B$51</f>
        <v>576</v>
      </c>
      <c r="H11" s="535">
        <f>CCBASE!$I$11*B11/1000</f>
        <v>160.99296219999999</v>
      </c>
      <c r="I11" s="535"/>
      <c r="J11" s="535"/>
      <c r="K11" s="535"/>
      <c r="L11" s="534"/>
      <c r="M11" s="535">
        <f>CCBASE!$I$15*B11/1000</f>
        <v>79.84588500000001</v>
      </c>
      <c r="N11" s="535"/>
      <c r="O11" s="535"/>
      <c r="P11" s="535">
        <f>CCBASE!$I$10</f>
        <v>30.661922000000001</v>
      </c>
      <c r="Q11" s="535">
        <f>CCBASE!$I$51</f>
        <v>2.9</v>
      </c>
      <c r="R11" s="535">
        <f>CCBASE!$I$4</f>
        <v>8.3986041999999994</v>
      </c>
      <c r="S11" s="535">
        <f>CCBASE!$I$8</f>
        <v>16.25526</v>
      </c>
      <c r="T11" s="534"/>
      <c r="U11" s="535"/>
      <c r="V11" s="535"/>
      <c r="W11" s="535">
        <f>CCBASE!$I$40*B11/1000</f>
        <v>41.308039999999998</v>
      </c>
      <c r="X11" s="535"/>
      <c r="Y11" s="535"/>
      <c r="Z11" s="535"/>
      <c r="AA11" s="535"/>
      <c r="AB11" s="535"/>
      <c r="AC11" s="535"/>
      <c r="AD11" s="535">
        <f>CCBASE!$I$32*2</f>
        <v>108.826984</v>
      </c>
      <c r="AI11" s="537"/>
      <c r="AJ11" s="537"/>
      <c r="AK11" s="538"/>
      <c r="AL11" s="538"/>
      <c r="AM11" s="538"/>
      <c r="AN11" s="538"/>
      <c r="AO11" s="538"/>
      <c r="AP11" s="538"/>
      <c r="AQ11" s="538"/>
      <c r="AR11" s="538"/>
      <c r="AS11" s="538"/>
    </row>
    <row r="12" spans="1:46" x14ac:dyDescent="0.2">
      <c r="A12" s="533" t="s">
        <v>1060</v>
      </c>
      <c r="B12" s="533">
        <v>1250</v>
      </c>
      <c r="C12" s="533">
        <v>1250</v>
      </c>
      <c r="D12" s="533" t="str">
        <f t="shared" si="0"/>
        <v>UVX12501250</v>
      </c>
      <c r="E12" s="907">
        <f t="shared" si="1"/>
        <v>1095.7263791999999</v>
      </c>
      <c r="F12" s="534">
        <v>16</v>
      </c>
      <c r="G12" s="535">
        <f>F12*CCBASE!$B$51</f>
        <v>576</v>
      </c>
      <c r="H12" s="535">
        <f>CCBASE!$I$11*B12/1000</f>
        <v>201.24120274999999</v>
      </c>
      <c r="I12" s="535"/>
      <c r="J12" s="535"/>
      <c r="K12" s="535"/>
      <c r="L12" s="534"/>
      <c r="M12" s="535">
        <f>CCBASE!$I$15*B12/1000</f>
        <v>99.807356250000012</v>
      </c>
      <c r="N12" s="535"/>
      <c r="O12" s="535"/>
      <c r="P12" s="535">
        <f>CCBASE!$I$10</f>
        <v>30.661922000000001</v>
      </c>
      <c r="Q12" s="535">
        <f>CCBASE!$I$51</f>
        <v>2.9</v>
      </c>
      <c r="R12" s="535">
        <f>CCBASE!$I$4</f>
        <v>8.3986041999999994</v>
      </c>
      <c r="S12" s="535">
        <f>CCBASE!$I$8</f>
        <v>16.25526</v>
      </c>
      <c r="T12" s="534"/>
      <c r="U12" s="535"/>
      <c r="V12" s="535"/>
      <c r="W12" s="535">
        <f>CCBASE!$I$40*B12/1000</f>
        <v>51.635049999999993</v>
      </c>
      <c r="X12" s="535"/>
      <c r="Y12" s="535"/>
      <c r="Z12" s="535"/>
      <c r="AA12" s="535"/>
      <c r="AB12" s="535"/>
      <c r="AC12" s="535"/>
      <c r="AD12" s="535">
        <f>CCBASE!$I$32*2</f>
        <v>108.826984</v>
      </c>
      <c r="AI12" s="537"/>
      <c r="AJ12" s="537"/>
      <c r="AK12" s="538"/>
      <c r="AL12" s="538"/>
      <c r="AM12" s="538"/>
      <c r="AN12" s="538"/>
      <c r="AO12" s="538"/>
      <c r="AP12" s="538"/>
      <c r="AQ12" s="538"/>
      <c r="AR12" s="538"/>
      <c r="AS12" s="538"/>
    </row>
    <row r="13" spans="1:46" x14ac:dyDescent="0.2">
      <c r="A13" s="533" t="s">
        <v>1060</v>
      </c>
      <c r="B13" s="533">
        <v>1500</v>
      </c>
      <c r="C13" s="533">
        <v>1250</v>
      </c>
      <c r="D13" s="533" t="str">
        <f t="shared" si="0"/>
        <v>UVX15001250</v>
      </c>
      <c r="E13" s="907">
        <f t="shared" si="1"/>
        <v>1166.263101</v>
      </c>
      <c r="F13" s="534">
        <v>16</v>
      </c>
      <c r="G13" s="535">
        <f>F13*CCBASE!$B$51</f>
        <v>576</v>
      </c>
      <c r="H13" s="535">
        <f>CCBASE!$I$11*B13/1000</f>
        <v>241.48944329999998</v>
      </c>
      <c r="I13" s="535"/>
      <c r="J13" s="535"/>
      <c r="K13" s="535"/>
      <c r="L13" s="534"/>
      <c r="M13" s="535">
        <f>CCBASE!$I$15*B13/1000</f>
        <v>119.76882750000001</v>
      </c>
      <c r="N13" s="535"/>
      <c r="O13" s="535"/>
      <c r="P13" s="535">
        <f>CCBASE!$I$10</f>
        <v>30.661922000000001</v>
      </c>
      <c r="Q13" s="535">
        <f>CCBASE!$I$51</f>
        <v>2.9</v>
      </c>
      <c r="R13" s="535">
        <f>CCBASE!$I$4</f>
        <v>8.3986041999999994</v>
      </c>
      <c r="S13" s="535">
        <f>CCBASE!$I$8</f>
        <v>16.25526</v>
      </c>
      <c r="T13" s="534"/>
      <c r="U13" s="535"/>
      <c r="V13" s="535"/>
      <c r="W13" s="535">
        <f>CCBASE!$I$40*B13/1000</f>
        <v>61.962060000000001</v>
      </c>
      <c r="X13" s="535"/>
      <c r="Y13" s="535"/>
      <c r="Z13" s="535"/>
      <c r="AA13" s="535"/>
      <c r="AB13" s="535"/>
      <c r="AC13" s="535"/>
      <c r="AD13" s="535">
        <f>CCBASE!$I$32*2</f>
        <v>108.826984</v>
      </c>
      <c r="AI13" s="537"/>
      <c r="AJ13" s="537"/>
      <c r="AK13" s="538"/>
      <c r="AL13" s="538"/>
      <c r="AM13" s="538"/>
      <c r="AN13" s="538"/>
      <c r="AO13" s="538"/>
      <c r="AP13" s="538"/>
      <c r="AQ13" s="538"/>
      <c r="AR13" s="538"/>
      <c r="AS13" s="538"/>
    </row>
    <row r="14" spans="1:46" x14ac:dyDescent="0.2">
      <c r="A14" s="533" t="s">
        <v>1060</v>
      </c>
      <c r="B14" s="533">
        <v>1750</v>
      </c>
      <c r="C14" s="533">
        <v>1250</v>
      </c>
      <c r="D14" s="533" t="str">
        <f t="shared" si="0"/>
        <v>UVX17501250</v>
      </c>
      <c r="E14" s="907">
        <f t="shared" si="1"/>
        <v>1236.7998227999999</v>
      </c>
      <c r="F14" s="534">
        <v>16</v>
      </c>
      <c r="G14" s="535">
        <f>F14*CCBASE!$B$51</f>
        <v>576</v>
      </c>
      <c r="H14" s="535">
        <f>CCBASE!$I$11*B14/1000</f>
        <v>281.73768385</v>
      </c>
      <c r="I14" s="535"/>
      <c r="J14" s="535"/>
      <c r="K14" s="535"/>
      <c r="L14" s="534"/>
      <c r="M14" s="535">
        <f>CCBASE!$I$15*B14/1000</f>
        <v>139.73029875</v>
      </c>
      <c r="N14" s="535"/>
      <c r="O14" s="535"/>
      <c r="P14" s="535">
        <f>CCBASE!$I$10</f>
        <v>30.661922000000001</v>
      </c>
      <c r="Q14" s="535">
        <f>CCBASE!$I$51</f>
        <v>2.9</v>
      </c>
      <c r="R14" s="535">
        <f>CCBASE!$I$4</f>
        <v>8.3986041999999994</v>
      </c>
      <c r="S14" s="535">
        <f>CCBASE!$I$8</f>
        <v>16.25526</v>
      </c>
      <c r="T14" s="534"/>
      <c r="U14" s="535"/>
      <c r="V14" s="535"/>
      <c r="W14" s="535">
        <f>CCBASE!$I$40*B14/1000</f>
        <v>72.289069999999995</v>
      </c>
      <c r="X14" s="535"/>
      <c r="Y14" s="535"/>
      <c r="Z14" s="535"/>
      <c r="AA14" s="535"/>
      <c r="AB14" s="535"/>
      <c r="AC14" s="535"/>
      <c r="AD14" s="535">
        <f>CCBASE!$I$32*2</f>
        <v>108.826984</v>
      </c>
      <c r="AI14" s="537"/>
      <c r="AJ14" s="537"/>
      <c r="AK14" s="538"/>
      <c r="AL14" s="538"/>
      <c r="AM14" s="538"/>
      <c r="AN14" s="538"/>
      <c r="AO14" s="538"/>
      <c r="AP14" s="538"/>
      <c r="AQ14" s="538"/>
      <c r="AR14" s="538"/>
      <c r="AS14" s="538"/>
    </row>
    <row r="15" spans="1:46" x14ac:dyDescent="0.2">
      <c r="A15" s="533" t="s">
        <v>1060</v>
      </c>
      <c r="B15" s="533">
        <v>2000</v>
      </c>
      <c r="C15" s="533">
        <v>1250</v>
      </c>
      <c r="D15" s="533" t="str">
        <f t="shared" si="0"/>
        <v>UVX20001250</v>
      </c>
      <c r="E15" s="907">
        <f t="shared" si="1"/>
        <v>1316.3857448999997</v>
      </c>
      <c r="F15" s="534">
        <v>16</v>
      </c>
      <c r="G15" s="535">
        <f>F15*CCBASE!$B$51</f>
        <v>576</v>
      </c>
      <c r="H15" s="535">
        <f>CCBASE!$I$11*B15/1000</f>
        <v>321.98592439999999</v>
      </c>
      <c r="I15" s="535"/>
      <c r="J15" s="535"/>
      <c r="K15" s="535"/>
      <c r="L15" s="534"/>
      <c r="M15" s="535">
        <f>CCBASE!$I$15*B15/1000</f>
        <v>159.69177000000002</v>
      </c>
      <c r="N15" s="535"/>
      <c r="O15" s="535"/>
      <c r="P15" s="535">
        <f>CCBASE!$I$9</f>
        <v>39.7111223</v>
      </c>
      <c r="Q15" s="535">
        <f>CCBASE!$I$51</f>
        <v>2.9</v>
      </c>
      <c r="R15" s="535">
        <f>CCBASE!$I$4</f>
        <v>8.3986041999999994</v>
      </c>
      <c r="S15" s="535">
        <f>CCBASE!$I$8</f>
        <v>16.25526</v>
      </c>
      <c r="T15" s="534"/>
      <c r="U15" s="535"/>
      <c r="V15" s="535"/>
      <c r="W15" s="535">
        <f>CCBASE!$I$40*B15/1000</f>
        <v>82.616079999999997</v>
      </c>
      <c r="X15" s="535"/>
      <c r="Y15" s="535"/>
      <c r="Z15" s="535"/>
      <c r="AA15" s="535"/>
      <c r="AB15" s="535"/>
      <c r="AC15" s="535"/>
      <c r="AD15" s="535">
        <f>CCBASE!$I$32*2</f>
        <v>108.826984</v>
      </c>
      <c r="AI15" s="537"/>
      <c r="AJ15" s="537"/>
      <c r="AN15" s="538"/>
      <c r="AO15" s="538"/>
      <c r="AP15" s="538"/>
      <c r="AQ15" s="538"/>
      <c r="AR15" s="538"/>
      <c r="AS15" s="538"/>
    </row>
    <row r="16" spans="1:46" x14ac:dyDescent="0.2">
      <c r="A16" s="533" t="s">
        <v>1060</v>
      </c>
      <c r="B16" s="533">
        <v>2250</v>
      </c>
      <c r="C16" s="533">
        <v>1250</v>
      </c>
      <c r="D16" s="533" t="str">
        <f t="shared" si="0"/>
        <v>UVX22501250</v>
      </c>
      <c r="E16" s="907">
        <f t="shared" si="1"/>
        <v>1386.9224666999999</v>
      </c>
      <c r="F16" s="534">
        <v>16</v>
      </c>
      <c r="G16" s="535">
        <f>F16*CCBASE!$B$51</f>
        <v>576</v>
      </c>
      <c r="H16" s="535">
        <f>CCBASE!$I$11*B16/1000</f>
        <v>362.23416494999998</v>
      </c>
      <c r="I16" s="535"/>
      <c r="J16" s="535"/>
      <c r="K16" s="535"/>
      <c r="L16" s="534"/>
      <c r="M16" s="535">
        <f>CCBASE!$I$15*B16/1000</f>
        <v>179.65324125000001</v>
      </c>
      <c r="N16" s="535"/>
      <c r="O16" s="535"/>
      <c r="P16" s="535">
        <f>CCBASE!$I$9</f>
        <v>39.7111223</v>
      </c>
      <c r="Q16" s="535">
        <f>CCBASE!$I$51</f>
        <v>2.9</v>
      </c>
      <c r="R16" s="535">
        <f>CCBASE!$I$4</f>
        <v>8.3986041999999994</v>
      </c>
      <c r="S16" s="535">
        <f>CCBASE!$I$8</f>
        <v>16.25526</v>
      </c>
      <c r="T16" s="534"/>
      <c r="U16" s="535"/>
      <c r="V16" s="535"/>
      <c r="W16" s="535">
        <f>CCBASE!$I$40*B16/1000</f>
        <v>92.943089999999998</v>
      </c>
      <c r="X16" s="535"/>
      <c r="Y16" s="535"/>
      <c r="Z16" s="535"/>
      <c r="AA16" s="535"/>
      <c r="AB16" s="535"/>
      <c r="AC16" s="535"/>
      <c r="AD16" s="535">
        <f>CCBASE!$I$32*2</f>
        <v>108.826984</v>
      </c>
      <c r="AI16" s="537"/>
      <c r="AJ16" s="537"/>
      <c r="AN16" s="538"/>
      <c r="AO16" s="538"/>
      <c r="AP16" s="538"/>
      <c r="AQ16" s="538"/>
      <c r="AR16" s="538"/>
      <c r="AS16" s="538"/>
    </row>
    <row r="17" spans="1:45" x14ac:dyDescent="0.2">
      <c r="A17" s="533" t="s">
        <v>1060</v>
      </c>
      <c r="B17" s="533">
        <v>2500</v>
      </c>
      <c r="C17" s="533">
        <v>1250</v>
      </c>
      <c r="D17" s="533" t="str">
        <f t="shared" si="0"/>
        <v>UVX25001250</v>
      </c>
      <c r="E17" s="907">
        <f t="shared" si="1"/>
        <v>1529.4591884999998</v>
      </c>
      <c r="F17" s="534">
        <v>18</v>
      </c>
      <c r="G17" s="535">
        <f>F17*CCBASE!$B$51</f>
        <v>648</v>
      </c>
      <c r="H17" s="535">
        <f>CCBASE!$I$11*B17/1000</f>
        <v>402.48240549999997</v>
      </c>
      <c r="I17" s="535"/>
      <c r="J17" s="535"/>
      <c r="K17" s="535"/>
      <c r="L17" s="534"/>
      <c r="M17" s="535">
        <f>CCBASE!$I$15*B17/1000</f>
        <v>199.61471250000002</v>
      </c>
      <c r="N17" s="535"/>
      <c r="O17" s="535"/>
      <c r="P17" s="535">
        <f>CCBASE!$I$9</f>
        <v>39.7111223</v>
      </c>
      <c r="Q17" s="535">
        <f>CCBASE!$I$51</f>
        <v>2.9</v>
      </c>
      <c r="R17" s="535">
        <f>CCBASE!$I$4</f>
        <v>8.3986041999999994</v>
      </c>
      <c r="S17" s="535">
        <f>CCBASE!$I$8</f>
        <v>16.25526</v>
      </c>
      <c r="T17" s="534"/>
      <c r="U17" s="535"/>
      <c r="V17" s="535"/>
      <c r="W17" s="535">
        <f>CCBASE!$I$40*B17/1000</f>
        <v>103.27009999999999</v>
      </c>
      <c r="X17" s="535"/>
      <c r="Y17" s="535"/>
      <c r="Z17" s="535"/>
      <c r="AA17" s="535"/>
      <c r="AB17" s="535"/>
      <c r="AC17" s="535"/>
      <c r="AD17" s="535">
        <f>CCBASE!$I$32*2</f>
        <v>108.826984</v>
      </c>
      <c r="AI17" s="537"/>
      <c r="AJ17" s="537"/>
      <c r="AN17" s="538"/>
      <c r="AO17" s="538"/>
      <c r="AP17" s="538"/>
      <c r="AQ17" s="538"/>
      <c r="AR17" s="538"/>
      <c r="AS17" s="538"/>
    </row>
    <row r="18" spans="1:45" x14ac:dyDescent="0.2">
      <c r="A18" s="533" t="s">
        <v>1060</v>
      </c>
      <c r="B18" s="533">
        <v>2750</v>
      </c>
      <c r="C18" s="533">
        <v>1250</v>
      </c>
      <c r="D18" s="533" t="str">
        <f t="shared" si="0"/>
        <v>UVX27501250</v>
      </c>
      <c r="E18" s="907">
        <f t="shared" si="1"/>
        <v>1599.9959102999997</v>
      </c>
      <c r="F18" s="534">
        <v>18</v>
      </c>
      <c r="G18" s="535">
        <f>F18*CCBASE!$B$51</f>
        <v>648</v>
      </c>
      <c r="H18" s="535">
        <f>CCBASE!$I$11*B18/1000</f>
        <v>442.73064604999996</v>
      </c>
      <c r="I18" s="535"/>
      <c r="J18" s="535"/>
      <c r="K18" s="535"/>
      <c r="L18" s="534"/>
      <c r="M18" s="535">
        <f>CCBASE!$I$15*B18/1000</f>
        <v>219.57618375000001</v>
      </c>
      <c r="N18" s="535"/>
      <c r="O18" s="535"/>
      <c r="P18" s="535">
        <f>CCBASE!$I$9</f>
        <v>39.7111223</v>
      </c>
      <c r="Q18" s="535">
        <f>CCBASE!$I$51</f>
        <v>2.9</v>
      </c>
      <c r="R18" s="535">
        <f>CCBASE!$I$4</f>
        <v>8.3986041999999994</v>
      </c>
      <c r="S18" s="535">
        <f>CCBASE!$I$8</f>
        <v>16.25526</v>
      </c>
      <c r="T18" s="534"/>
      <c r="U18" s="535"/>
      <c r="V18" s="535"/>
      <c r="W18" s="535">
        <f>CCBASE!$I$40*B18/1000</f>
        <v>113.59711</v>
      </c>
      <c r="X18" s="535"/>
      <c r="Y18" s="535"/>
      <c r="Z18" s="535"/>
      <c r="AA18" s="535"/>
      <c r="AB18" s="535"/>
      <c r="AC18" s="535"/>
      <c r="AD18" s="535">
        <f>CCBASE!$I$32*2</f>
        <v>108.826984</v>
      </c>
      <c r="AI18" s="537"/>
      <c r="AJ18" s="537"/>
      <c r="AN18" s="538"/>
      <c r="AO18" s="538"/>
      <c r="AP18" s="538"/>
      <c r="AQ18" s="538"/>
      <c r="AR18" s="538"/>
      <c r="AS18" s="538"/>
    </row>
    <row r="19" spans="1:45" x14ac:dyDescent="0.2">
      <c r="A19" s="533" t="s">
        <v>1060</v>
      </c>
      <c r="B19" s="533">
        <v>3000</v>
      </c>
      <c r="C19" s="533">
        <v>1250</v>
      </c>
      <c r="D19" s="533" t="str">
        <f t="shared" si="0"/>
        <v>UVX30001250</v>
      </c>
      <c r="E19" s="907">
        <f t="shared" si="1"/>
        <v>1670.5326320999998</v>
      </c>
      <c r="F19" s="534">
        <v>18</v>
      </c>
      <c r="G19" s="535">
        <f>F19*CCBASE!$B$51</f>
        <v>648</v>
      </c>
      <c r="H19" s="535">
        <f>CCBASE!$I$11*B19/1000</f>
        <v>482.97888659999995</v>
      </c>
      <c r="I19" s="535"/>
      <c r="J19" s="535"/>
      <c r="K19" s="535"/>
      <c r="L19" s="534"/>
      <c r="M19" s="535">
        <f>CCBASE!$I$15*B19/1000</f>
        <v>239.53765500000003</v>
      </c>
      <c r="N19" s="535"/>
      <c r="O19" s="535"/>
      <c r="P19" s="535">
        <f>CCBASE!$I$9</f>
        <v>39.7111223</v>
      </c>
      <c r="Q19" s="535">
        <f>CCBASE!$I$51</f>
        <v>2.9</v>
      </c>
      <c r="R19" s="535">
        <f>CCBASE!$I$4</f>
        <v>8.3986041999999994</v>
      </c>
      <c r="S19" s="535">
        <f>CCBASE!$I$8</f>
        <v>16.25526</v>
      </c>
      <c r="T19" s="534"/>
      <c r="U19" s="535"/>
      <c r="V19" s="535"/>
      <c r="W19" s="535">
        <f>CCBASE!$I$40*B19/1000</f>
        <v>123.92412</v>
      </c>
      <c r="X19" s="535"/>
      <c r="Y19" s="535"/>
      <c r="Z19" s="535"/>
      <c r="AA19" s="535"/>
      <c r="AB19" s="535"/>
      <c r="AC19" s="535"/>
      <c r="AD19" s="535">
        <f>CCBASE!$I$32*2</f>
        <v>108.826984</v>
      </c>
      <c r="AI19" s="537"/>
      <c r="AJ19" s="537"/>
      <c r="AN19" s="538"/>
      <c r="AO19" s="538"/>
      <c r="AP19" s="538"/>
      <c r="AQ19" s="538"/>
      <c r="AR19" s="538"/>
      <c r="AS19" s="538"/>
    </row>
    <row r="20" spans="1:45" x14ac:dyDescent="0.2">
      <c r="A20" s="533" t="s">
        <v>1060</v>
      </c>
      <c r="B20" s="533">
        <v>1000</v>
      </c>
      <c r="C20" s="533">
        <v>1500</v>
      </c>
      <c r="D20" s="533" t="str">
        <f t="shared" si="0"/>
        <v>UVX10001500</v>
      </c>
      <c r="E20" s="907">
        <f t="shared" si="1"/>
        <v>1070.1399333999998</v>
      </c>
      <c r="F20" s="534">
        <v>16</v>
      </c>
      <c r="G20" s="535">
        <f>F20*CCBASE!$B$51</f>
        <v>576</v>
      </c>
      <c r="H20" s="535">
        <f>CCBASE!$I$11*B20/1000</f>
        <v>160.99296219999999</v>
      </c>
      <c r="I20" s="535"/>
      <c r="J20" s="535"/>
      <c r="K20" s="535"/>
      <c r="L20" s="534"/>
      <c r="M20" s="535">
        <f>CCBASE!$I$15*B20/1000</f>
        <v>79.84588500000001</v>
      </c>
      <c r="N20" s="535"/>
      <c r="O20" s="535"/>
      <c r="P20" s="535">
        <f>CCBASE!$I$10</f>
        <v>30.661922000000001</v>
      </c>
      <c r="Q20" s="535">
        <f>CCBASE!$I$51</f>
        <v>2.9</v>
      </c>
      <c r="R20" s="535">
        <f>CCBASE!$I$4</f>
        <v>8.3986041999999994</v>
      </c>
      <c r="S20" s="535">
        <f>CCBASE!$I$8</f>
        <v>16.25526</v>
      </c>
      <c r="T20" s="534"/>
      <c r="U20" s="535"/>
      <c r="V20" s="535"/>
      <c r="W20" s="535">
        <f>CCBASE!$I$41*B20/1000</f>
        <v>59.051569999999998</v>
      </c>
      <c r="X20" s="535"/>
      <c r="Y20" s="535"/>
      <c r="Z20" s="535"/>
      <c r="AA20" s="535"/>
      <c r="AB20" s="535"/>
      <c r="AC20" s="535"/>
      <c r="AD20" s="535">
        <f>CCBASE!$I$33*2</f>
        <v>136.03372999999999</v>
      </c>
      <c r="AI20" s="537"/>
      <c r="AJ20" s="537"/>
      <c r="AN20" s="538"/>
      <c r="AO20" s="538"/>
      <c r="AP20" s="538"/>
      <c r="AQ20" s="538"/>
      <c r="AR20" s="538"/>
      <c r="AS20" s="538"/>
    </row>
    <row r="21" spans="1:45" x14ac:dyDescent="0.2">
      <c r="A21" s="533" t="s">
        <v>1060</v>
      </c>
      <c r="B21" s="533">
        <v>1250</v>
      </c>
      <c r="C21" s="533">
        <v>1500</v>
      </c>
      <c r="D21" s="533" t="str">
        <f t="shared" si="0"/>
        <v>UVX12501500</v>
      </c>
      <c r="E21" s="907">
        <f t="shared" si="1"/>
        <v>1145.1125376999998</v>
      </c>
      <c r="F21" s="534">
        <v>16</v>
      </c>
      <c r="G21" s="535">
        <f>F21*CCBASE!$B$51</f>
        <v>576</v>
      </c>
      <c r="H21" s="535">
        <f>CCBASE!$I$11*B21/1000</f>
        <v>201.24120274999999</v>
      </c>
      <c r="I21" s="535"/>
      <c r="J21" s="535"/>
      <c r="K21" s="535"/>
      <c r="L21" s="534"/>
      <c r="M21" s="535">
        <f>CCBASE!$I$15*B21/1000</f>
        <v>99.807356250000012</v>
      </c>
      <c r="N21" s="535"/>
      <c r="O21" s="535"/>
      <c r="P21" s="535">
        <f>CCBASE!$I$10</f>
        <v>30.661922000000001</v>
      </c>
      <c r="Q21" s="535">
        <f>CCBASE!$I$51</f>
        <v>2.9</v>
      </c>
      <c r="R21" s="535">
        <f>CCBASE!$I$4</f>
        <v>8.3986041999999994</v>
      </c>
      <c r="S21" s="535">
        <f>CCBASE!$I$8</f>
        <v>16.25526</v>
      </c>
      <c r="T21" s="534"/>
      <c r="U21" s="535"/>
      <c r="V21" s="535"/>
      <c r="W21" s="535">
        <f>CCBASE!$I$41*B21/1000</f>
        <v>73.814462499999991</v>
      </c>
      <c r="X21" s="535"/>
      <c r="Y21" s="535"/>
      <c r="Z21" s="535"/>
      <c r="AA21" s="535"/>
      <c r="AB21" s="535"/>
      <c r="AC21" s="535"/>
      <c r="AD21" s="535">
        <f>CCBASE!$I$33*2</f>
        <v>136.03372999999999</v>
      </c>
      <c r="AI21" s="537"/>
      <c r="AJ21" s="537"/>
      <c r="AK21" s="538"/>
      <c r="AL21" s="538"/>
      <c r="AM21" s="538"/>
      <c r="AN21" s="538"/>
      <c r="AO21" s="538"/>
      <c r="AP21" s="538"/>
      <c r="AQ21" s="538"/>
      <c r="AR21" s="538"/>
      <c r="AS21" s="538"/>
    </row>
    <row r="22" spans="1:45" x14ac:dyDescent="0.2">
      <c r="A22" s="533" t="s">
        <v>1060</v>
      </c>
      <c r="B22" s="533">
        <v>1500</v>
      </c>
      <c r="C22" s="533">
        <v>1500</v>
      </c>
      <c r="D22" s="533" t="str">
        <f t="shared" si="0"/>
        <v>UVX15001500</v>
      </c>
      <c r="E22" s="907">
        <f t="shared" si="1"/>
        <v>1220.0851419999999</v>
      </c>
      <c r="F22" s="534">
        <v>16</v>
      </c>
      <c r="G22" s="535">
        <f>F22*CCBASE!$B$51</f>
        <v>576</v>
      </c>
      <c r="H22" s="535">
        <f>CCBASE!$I$11*B22/1000</f>
        <v>241.48944329999998</v>
      </c>
      <c r="I22" s="535"/>
      <c r="J22" s="535"/>
      <c r="K22" s="535"/>
      <c r="L22" s="534"/>
      <c r="M22" s="535">
        <f>CCBASE!$I$15*B22/1000</f>
        <v>119.76882750000001</v>
      </c>
      <c r="N22" s="535"/>
      <c r="O22" s="535"/>
      <c r="P22" s="535">
        <f>CCBASE!$I$10</f>
        <v>30.661922000000001</v>
      </c>
      <c r="Q22" s="535">
        <f>CCBASE!$I$51</f>
        <v>2.9</v>
      </c>
      <c r="R22" s="535">
        <f>CCBASE!$I$4</f>
        <v>8.3986041999999994</v>
      </c>
      <c r="S22" s="535">
        <f>CCBASE!$I$8</f>
        <v>16.25526</v>
      </c>
      <c r="T22" s="534"/>
      <c r="U22" s="535"/>
      <c r="V22" s="535"/>
      <c r="W22" s="535">
        <f>CCBASE!$I$41*B22/1000</f>
        <v>88.577354999999997</v>
      </c>
      <c r="X22" s="535"/>
      <c r="Y22" s="535"/>
      <c r="Z22" s="535"/>
      <c r="AA22" s="535"/>
      <c r="AB22" s="535"/>
      <c r="AC22" s="535"/>
      <c r="AD22" s="535">
        <f>CCBASE!$I$33*2</f>
        <v>136.03372999999999</v>
      </c>
      <c r="AI22" s="537"/>
      <c r="AJ22" s="537"/>
      <c r="AK22" s="538"/>
      <c r="AL22" s="538"/>
      <c r="AM22" s="538"/>
      <c r="AN22" s="538"/>
      <c r="AO22" s="538"/>
      <c r="AP22" s="538"/>
      <c r="AQ22" s="538"/>
      <c r="AR22" s="538"/>
      <c r="AS22" s="538"/>
    </row>
    <row r="23" spans="1:45" x14ac:dyDescent="0.2">
      <c r="A23" s="533" t="s">
        <v>1060</v>
      </c>
      <c r="B23" s="533">
        <v>1750</v>
      </c>
      <c r="C23" s="533">
        <v>1500</v>
      </c>
      <c r="D23" s="533" t="str">
        <f t="shared" si="0"/>
        <v>UVX17501500</v>
      </c>
      <c r="E23" s="907">
        <f t="shared" si="1"/>
        <v>1295.0577463</v>
      </c>
      <c r="F23" s="534">
        <v>16</v>
      </c>
      <c r="G23" s="535">
        <f>F23*CCBASE!$B$51</f>
        <v>576</v>
      </c>
      <c r="H23" s="535">
        <f>CCBASE!$I$11*B23/1000</f>
        <v>281.73768385</v>
      </c>
      <c r="I23" s="535"/>
      <c r="J23" s="535"/>
      <c r="K23" s="535"/>
      <c r="L23" s="534"/>
      <c r="M23" s="535">
        <f>CCBASE!$I$15*B23/1000</f>
        <v>139.73029875</v>
      </c>
      <c r="N23" s="535"/>
      <c r="O23" s="535"/>
      <c r="P23" s="535">
        <f>CCBASE!$I$10</f>
        <v>30.661922000000001</v>
      </c>
      <c r="Q23" s="535">
        <f>CCBASE!$I$51</f>
        <v>2.9</v>
      </c>
      <c r="R23" s="535">
        <f>CCBASE!$I$4</f>
        <v>8.3986041999999994</v>
      </c>
      <c r="S23" s="535">
        <f>CCBASE!$I$8</f>
        <v>16.25526</v>
      </c>
      <c r="T23" s="534"/>
      <c r="U23" s="535"/>
      <c r="V23" s="535"/>
      <c r="W23" s="535">
        <f>CCBASE!$I$41*B23/1000</f>
        <v>103.3402475</v>
      </c>
      <c r="X23" s="535"/>
      <c r="Y23" s="535"/>
      <c r="Z23" s="535"/>
      <c r="AA23" s="535"/>
      <c r="AB23" s="535"/>
      <c r="AC23" s="535"/>
      <c r="AD23" s="535">
        <f>CCBASE!$I$33*2</f>
        <v>136.03372999999999</v>
      </c>
      <c r="AI23" s="537"/>
      <c r="AJ23" s="537"/>
      <c r="AK23" s="538"/>
      <c r="AL23" s="538"/>
      <c r="AM23" s="538"/>
      <c r="AN23" s="538"/>
      <c r="AO23" s="538"/>
      <c r="AP23" s="538"/>
      <c r="AQ23" s="538"/>
      <c r="AR23" s="538"/>
      <c r="AS23" s="538"/>
    </row>
    <row r="24" spans="1:45" x14ac:dyDescent="0.2">
      <c r="A24" s="533" t="s">
        <v>1060</v>
      </c>
      <c r="B24" s="533">
        <v>2000</v>
      </c>
      <c r="C24" s="533">
        <v>1500</v>
      </c>
      <c r="D24" s="533" t="str">
        <f t="shared" si="0"/>
        <v>UVX20001500</v>
      </c>
      <c r="E24" s="907">
        <f t="shared" si="1"/>
        <v>1379.0795508999995</v>
      </c>
      <c r="F24" s="534">
        <v>16</v>
      </c>
      <c r="G24" s="535">
        <f>F24*CCBASE!$B$51</f>
        <v>576</v>
      </c>
      <c r="H24" s="535">
        <f>CCBASE!$I$11*B24/1000</f>
        <v>321.98592439999999</v>
      </c>
      <c r="I24" s="535"/>
      <c r="J24" s="535"/>
      <c r="K24" s="535"/>
      <c r="L24" s="534"/>
      <c r="M24" s="535">
        <f>CCBASE!$I$15*B24/1000</f>
        <v>159.69177000000002</v>
      </c>
      <c r="N24" s="535"/>
      <c r="O24" s="535"/>
      <c r="P24" s="535">
        <f>CCBASE!$I$9</f>
        <v>39.7111223</v>
      </c>
      <c r="Q24" s="535">
        <f>CCBASE!$I$51</f>
        <v>2.9</v>
      </c>
      <c r="R24" s="535">
        <f>CCBASE!$I$4</f>
        <v>8.3986041999999994</v>
      </c>
      <c r="S24" s="535">
        <f>CCBASE!$I$8</f>
        <v>16.25526</v>
      </c>
      <c r="T24" s="534"/>
      <c r="U24" s="535"/>
      <c r="V24" s="535"/>
      <c r="W24" s="535">
        <f>CCBASE!$I$41*B24/1000</f>
        <v>118.10314</v>
      </c>
      <c r="X24" s="535"/>
      <c r="Y24" s="535"/>
      <c r="Z24" s="535"/>
      <c r="AA24" s="535"/>
      <c r="AB24" s="535"/>
      <c r="AC24" s="535"/>
      <c r="AD24" s="535">
        <f>CCBASE!$I$33*2</f>
        <v>136.03372999999999</v>
      </c>
      <c r="AI24" s="537"/>
      <c r="AJ24" s="537"/>
      <c r="AK24" s="538"/>
      <c r="AL24" s="538"/>
      <c r="AM24" s="538"/>
      <c r="AN24" s="538"/>
      <c r="AO24" s="538"/>
      <c r="AP24" s="538"/>
      <c r="AQ24" s="538"/>
      <c r="AR24" s="538"/>
      <c r="AS24" s="538"/>
    </row>
    <row r="25" spans="1:45" x14ac:dyDescent="0.2">
      <c r="A25" s="533" t="s">
        <v>1060</v>
      </c>
      <c r="B25" s="533">
        <v>2250</v>
      </c>
      <c r="C25" s="533">
        <v>1500</v>
      </c>
      <c r="D25" s="533" t="str">
        <f t="shared" si="0"/>
        <v>UVX22501500</v>
      </c>
      <c r="E25" s="907">
        <f t="shared" si="1"/>
        <v>1526.0521552</v>
      </c>
      <c r="F25" s="534">
        <v>18</v>
      </c>
      <c r="G25" s="535">
        <f>F25*CCBASE!$B$51</f>
        <v>648</v>
      </c>
      <c r="H25" s="535">
        <f>CCBASE!$I$11*B25/1000</f>
        <v>362.23416494999998</v>
      </c>
      <c r="I25" s="535"/>
      <c r="J25" s="535"/>
      <c r="K25" s="535"/>
      <c r="L25" s="534"/>
      <c r="M25" s="535">
        <f>CCBASE!$I$15*B25/1000</f>
        <v>179.65324125000001</v>
      </c>
      <c r="N25" s="535"/>
      <c r="O25" s="535"/>
      <c r="P25" s="535">
        <f>CCBASE!$I$9</f>
        <v>39.7111223</v>
      </c>
      <c r="Q25" s="535">
        <f>CCBASE!$I$51</f>
        <v>2.9</v>
      </c>
      <c r="R25" s="535">
        <f>CCBASE!$I$4</f>
        <v>8.3986041999999994</v>
      </c>
      <c r="S25" s="535">
        <f>CCBASE!$I$8</f>
        <v>16.25526</v>
      </c>
      <c r="T25" s="534"/>
      <c r="U25" s="535"/>
      <c r="V25" s="535"/>
      <c r="W25" s="535">
        <f>CCBASE!$I$41*B25/1000</f>
        <v>132.86603249999999</v>
      </c>
      <c r="X25" s="535"/>
      <c r="Y25" s="535"/>
      <c r="Z25" s="535"/>
      <c r="AA25" s="535"/>
      <c r="AB25" s="535"/>
      <c r="AC25" s="535"/>
      <c r="AD25" s="535">
        <f>CCBASE!$I$33*2</f>
        <v>136.03372999999999</v>
      </c>
      <c r="AI25" s="537"/>
      <c r="AJ25" s="537"/>
      <c r="AK25" s="538"/>
      <c r="AL25" s="538"/>
      <c r="AM25" s="538"/>
      <c r="AN25" s="538"/>
      <c r="AO25" s="538"/>
      <c r="AP25" s="538"/>
      <c r="AQ25" s="538"/>
      <c r="AR25" s="538"/>
      <c r="AS25" s="538"/>
    </row>
    <row r="26" spans="1:45" x14ac:dyDescent="0.2">
      <c r="A26" s="533" t="s">
        <v>1060</v>
      </c>
      <c r="B26" s="533">
        <v>2500</v>
      </c>
      <c r="C26" s="533">
        <v>1500</v>
      </c>
      <c r="D26" s="533" t="str">
        <f t="shared" si="0"/>
        <v>UVX25001500</v>
      </c>
      <c r="E26" s="907">
        <f t="shared" si="1"/>
        <v>1601.0247594999996</v>
      </c>
      <c r="F26" s="534">
        <v>18</v>
      </c>
      <c r="G26" s="535">
        <f>F26*CCBASE!$B$51</f>
        <v>648</v>
      </c>
      <c r="H26" s="535">
        <f>CCBASE!$I$11*B26/1000</f>
        <v>402.48240549999997</v>
      </c>
      <c r="I26" s="535"/>
      <c r="J26" s="535"/>
      <c r="K26" s="535"/>
      <c r="L26" s="534"/>
      <c r="M26" s="535">
        <f>CCBASE!$I$15*B26/1000</f>
        <v>199.61471250000002</v>
      </c>
      <c r="N26" s="535"/>
      <c r="O26" s="535"/>
      <c r="P26" s="535">
        <f>CCBASE!$I$9</f>
        <v>39.7111223</v>
      </c>
      <c r="Q26" s="535">
        <f>CCBASE!$I$51</f>
        <v>2.9</v>
      </c>
      <c r="R26" s="535">
        <f>CCBASE!$I$4</f>
        <v>8.3986041999999994</v>
      </c>
      <c r="S26" s="535">
        <f>CCBASE!$I$8</f>
        <v>16.25526</v>
      </c>
      <c r="T26" s="534"/>
      <c r="U26" s="535"/>
      <c r="V26" s="535"/>
      <c r="W26" s="535">
        <f>CCBASE!$I$41*B26/1000</f>
        <v>147.62892499999998</v>
      </c>
      <c r="X26" s="535"/>
      <c r="Y26" s="535"/>
      <c r="Z26" s="535"/>
      <c r="AA26" s="535"/>
      <c r="AB26" s="535"/>
      <c r="AC26" s="535"/>
      <c r="AD26" s="535">
        <f>CCBASE!$I$33*2</f>
        <v>136.03372999999999</v>
      </c>
      <c r="AI26" s="537"/>
      <c r="AJ26" s="537"/>
      <c r="AK26" s="538"/>
      <c r="AL26" s="538"/>
      <c r="AM26" s="538"/>
      <c r="AN26" s="538"/>
      <c r="AO26" s="538"/>
      <c r="AP26" s="538"/>
      <c r="AQ26" s="538"/>
      <c r="AR26" s="538"/>
      <c r="AS26" s="538"/>
    </row>
    <row r="27" spans="1:45" x14ac:dyDescent="0.2">
      <c r="A27" s="533" t="s">
        <v>1060</v>
      </c>
      <c r="B27" s="533">
        <v>2750</v>
      </c>
      <c r="C27" s="533">
        <v>1500</v>
      </c>
      <c r="D27" s="533" t="str">
        <f t="shared" si="0"/>
        <v>UVX27501500</v>
      </c>
      <c r="E27" s="907">
        <f t="shared" si="1"/>
        <v>1675.9973637999997</v>
      </c>
      <c r="F27" s="534">
        <v>18</v>
      </c>
      <c r="G27" s="535">
        <f>F27*CCBASE!$B$51</f>
        <v>648</v>
      </c>
      <c r="H27" s="535">
        <f>CCBASE!$I$11*B27/1000</f>
        <v>442.73064604999996</v>
      </c>
      <c r="I27" s="535"/>
      <c r="J27" s="535"/>
      <c r="K27" s="535"/>
      <c r="L27" s="534"/>
      <c r="M27" s="535">
        <f>CCBASE!$I$15*B27/1000</f>
        <v>219.57618375000001</v>
      </c>
      <c r="N27" s="535"/>
      <c r="O27" s="535"/>
      <c r="P27" s="535">
        <f>CCBASE!$I$9</f>
        <v>39.7111223</v>
      </c>
      <c r="Q27" s="535">
        <f>CCBASE!$I$51</f>
        <v>2.9</v>
      </c>
      <c r="R27" s="535">
        <f>CCBASE!$I$4</f>
        <v>8.3986041999999994</v>
      </c>
      <c r="S27" s="535">
        <f>CCBASE!$I$8</f>
        <v>16.25526</v>
      </c>
      <c r="T27" s="534"/>
      <c r="U27" s="535"/>
      <c r="V27" s="535"/>
      <c r="W27" s="535">
        <f>CCBASE!$I$41*B27/1000</f>
        <v>162.3918175</v>
      </c>
      <c r="X27" s="535"/>
      <c r="Y27" s="535"/>
      <c r="Z27" s="535"/>
      <c r="AA27" s="535"/>
      <c r="AB27" s="535"/>
      <c r="AC27" s="535"/>
      <c r="AD27" s="535">
        <f>CCBASE!$I$33*2</f>
        <v>136.03372999999999</v>
      </c>
      <c r="AI27" s="537"/>
      <c r="AJ27" s="537"/>
      <c r="AN27" s="538"/>
      <c r="AO27" s="538"/>
      <c r="AP27" s="538"/>
      <c r="AQ27" s="538"/>
      <c r="AR27" s="538"/>
      <c r="AS27" s="538"/>
    </row>
    <row r="28" spans="1:45" x14ac:dyDescent="0.2">
      <c r="A28" s="533" t="s">
        <v>1060</v>
      </c>
      <c r="B28" s="533">
        <v>3000</v>
      </c>
      <c r="C28" s="533">
        <v>1500</v>
      </c>
      <c r="D28" s="533" t="str">
        <f t="shared" si="0"/>
        <v>UVX30001500</v>
      </c>
      <c r="E28" s="907">
        <f t="shared" si="1"/>
        <v>1750.9699680999997</v>
      </c>
      <c r="F28" s="534">
        <v>18</v>
      </c>
      <c r="G28" s="535">
        <f>F28*CCBASE!$B$51</f>
        <v>648</v>
      </c>
      <c r="H28" s="535">
        <f>CCBASE!$I$11*B28/1000</f>
        <v>482.97888659999995</v>
      </c>
      <c r="I28" s="535"/>
      <c r="J28" s="535"/>
      <c r="K28" s="535"/>
      <c r="L28" s="534"/>
      <c r="M28" s="535">
        <f>CCBASE!$I$15*B28/1000</f>
        <v>239.53765500000003</v>
      </c>
      <c r="N28" s="535"/>
      <c r="O28" s="535"/>
      <c r="P28" s="535">
        <f>CCBASE!$I$9</f>
        <v>39.7111223</v>
      </c>
      <c r="Q28" s="535">
        <f>CCBASE!$I$51</f>
        <v>2.9</v>
      </c>
      <c r="R28" s="535">
        <f>CCBASE!$I$4</f>
        <v>8.3986041999999994</v>
      </c>
      <c r="S28" s="535">
        <f>CCBASE!$I$8</f>
        <v>16.25526</v>
      </c>
      <c r="T28" s="534"/>
      <c r="U28" s="535"/>
      <c r="V28" s="535"/>
      <c r="W28" s="535">
        <f>CCBASE!$I$41*B28/1000</f>
        <v>177.15470999999999</v>
      </c>
      <c r="X28" s="535"/>
      <c r="Y28" s="535"/>
      <c r="Z28" s="535"/>
      <c r="AA28" s="535"/>
      <c r="AB28" s="535"/>
      <c r="AC28" s="535"/>
      <c r="AD28" s="535">
        <f>CCBASE!$I$33*2</f>
        <v>136.03372999999999</v>
      </c>
      <c r="AI28" s="537"/>
      <c r="AJ28" s="537"/>
      <c r="AN28" s="538"/>
      <c r="AO28" s="538"/>
      <c r="AP28" s="538"/>
      <c r="AQ28" s="538"/>
      <c r="AR28" s="538"/>
      <c r="AS28" s="538"/>
    </row>
    <row r="29" spans="1:45" x14ac:dyDescent="0.2">
      <c r="A29" s="533" t="s">
        <v>1060</v>
      </c>
      <c r="B29" s="533">
        <v>1000</v>
      </c>
      <c r="C29" s="533">
        <v>1750</v>
      </c>
      <c r="D29" s="533" t="str">
        <f t="shared" si="0"/>
        <v>UVX10001750</v>
      </c>
      <c r="E29" s="907">
        <f t="shared" si="1"/>
        <v>1155.3088773999998</v>
      </c>
      <c r="F29" s="534">
        <v>16</v>
      </c>
      <c r="G29" s="535">
        <f>F29*CCBASE!$B$51</f>
        <v>576</v>
      </c>
      <c r="H29" s="535">
        <f>CCBASE!$I$11*B29/1000</f>
        <v>160.99296219999999</v>
      </c>
      <c r="I29" s="535"/>
      <c r="J29" s="535"/>
      <c r="K29" s="535"/>
      <c r="L29" s="540"/>
      <c r="M29" s="535">
        <f>CCBASE!$I$15*B29/1000</f>
        <v>79.84588500000001</v>
      </c>
      <c r="N29" s="535"/>
      <c r="O29" s="535"/>
      <c r="P29" s="535">
        <f>CCBASE!$I$10</f>
        <v>30.661922000000001</v>
      </c>
      <c r="Q29" s="535">
        <f>CCBASE!$I$51</f>
        <v>2.9</v>
      </c>
      <c r="R29" s="535">
        <f>CCBASE!$I$4</f>
        <v>8.3986041999999994</v>
      </c>
      <c r="S29" s="535">
        <f>CCBASE!$I$8</f>
        <v>16.25526</v>
      </c>
      <c r="T29" s="534"/>
      <c r="U29" s="534"/>
      <c r="V29" s="534"/>
      <c r="W29" s="535">
        <f>CCBASE!$I$42*B29/1000</f>
        <v>70.880589999999998</v>
      </c>
      <c r="X29" s="535"/>
      <c r="Y29" s="535"/>
      <c r="Z29" s="535"/>
      <c r="AA29" s="535"/>
      <c r="AB29" s="535"/>
      <c r="AC29" s="535"/>
      <c r="AD29" s="535">
        <f>CCBASE!$I$34*2</f>
        <v>209.37365399999999</v>
      </c>
      <c r="AI29" s="537"/>
      <c r="AJ29" s="537"/>
      <c r="AK29" s="538"/>
      <c r="AL29" s="538"/>
      <c r="AM29" s="538"/>
      <c r="AN29" s="538"/>
      <c r="AO29" s="538"/>
      <c r="AP29" s="538"/>
      <c r="AQ29" s="538"/>
      <c r="AR29" s="538"/>
      <c r="AS29" s="538"/>
    </row>
    <row r="30" spans="1:45" x14ac:dyDescent="0.2">
      <c r="A30" s="533" t="s">
        <v>1060</v>
      </c>
      <c r="B30" s="533">
        <v>1250</v>
      </c>
      <c r="C30" s="533">
        <v>1750</v>
      </c>
      <c r="D30" s="533" t="str">
        <f t="shared" si="0"/>
        <v>UVX12501750</v>
      </c>
      <c r="E30" s="907">
        <f t="shared" si="1"/>
        <v>1233.2387367000001</v>
      </c>
      <c r="F30" s="534">
        <v>16</v>
      </c>
      <c r="G30" s="535">
        <f>F30*CCBASE!$B$51</f>
        <v>576</v>
      </c>
      <c r="H30" s="535">
        <f>CCBASE!$I$11*B30/1000</f>
        <v>201.24120274999999</v>
      </c>
      <c r="I30" s="535"/>
      <c r="J30" s="535"/>
      <c r="K30" s="535"/>
      <c r="L30" s="540"/>
      <c r="M30" s="535">
        <f>CCBASE!$I$15*B30/1000</f>
        <v>99.807356250000012</v>
      </c>
      <c r="N30" s="535"/>
      <c r="O30" s="535"/>
      <c r="P30" s="535">
        <f>CCBASE!$I$10</f>
        <v>30.661922000000001</v>
      </c>
      <c r="Q30" s="535">
        <f>CCBASE!$I$51</f>
        <v>2.9</v>
      </c>
      <c r="R30" s="535">
        <f>CCBASE!$I$4</f>
        <v>8.3986041999999994</v>
      </c>
      <c r="S30" s="535">
        <f>CCBASE!$I$8</f>
        <v>16.25526</v>
      </c>
      <c r="T30" s="534"/>
      <c r="U30" s="534"/>
      <c r="V30" s="534"/>
      <c r="W30" s="535">
        <f>CCBASE!$I$42*B30/1000</f>
        <v>88.600737500000008</v>
      </c>
      <c r="X30" s="535"/>
      <c r="Y30" s="535"/>
      <c r="Z30" s="535"/>
      <c r="AA30" s="535"/>
      <c r="AB30" s="535"/>
      <c r="AC30" s="535"/>
      <c r="AD30" s="535">
        <f>CCBASE!$I$34*2</f>
        <v>209.37365399999999</v>
      </c>
      <c r="AI30" s="537"/>
      <c r="AJ30" s="537"/>
      <c r="AK30" s="538"/>
      <c r="AL30" s="538"/>
      <c r="AM30" s="538"/>
      <c r="AN30" s="538"/>
      <c r="AO30" s="538"/>
      <c r="AP30" s="538"/>
      <c r="AQ30" s="538"/>
      <c r="AR30" s="538"/>
      <c r="AS30" s="538"/>
    </row>
    <row r="31" spans="1:45" x14ac:dyDescent="0.2">
      <c r="A31" s="533" t="s">
        <v>1060</v>
      </c>
      <c r="B31" s="533">
        <v>1500</v>
      </c>
      <c r="C31" s="533">
        <v>1750</v>
      </c>
      <c r="D31" s="533" t="str">
        <f t="shared" si="0"/>
        <v>UVX15001750</v>
      </c>
      <c r="E31" s="907">
        <f t="shared" si="1"/>
        <v>1311.168596</v>
      </c>
      <c r="F31" s="534">
        <v>16</v>
      </c>
      <c r="G31" s="535">
        <f>F31*CCBASE!$B$51</f>
        <v>576</v>
      </c>
      <c r="H31" s="535">
        <f>CCBASE!$I$11*B31/1000</f>
        <v>241.48944329999998</v>
      </c>
      <c r="I31" s="535"/>
      <c r="J31" s="535"/>
      <c r="K31" s="535"/>
      <c r="L31" s="540"/>
      <c r="M31" s="535">
        <f>CCBASE!$I$15*B31/1000</f>
        <v>119.76882750000001</v>
      </c>
      <c r="N31" s="535"/>
      <c r="O31" s="535"/>
      <c r="P31" s="535">
        <f>CCBASE!$I$10</f>
        <v>30.661922000000001</v>
      </c>
      <c r="Q31" s="535">
        <f>CCBASE!$I$51</f>
        <v>2.9</v>
      </c>
      <c r="R31" s="535">
        <f>CCBASE!$I$4</f>
        <v>8.3986041999999994</v>
      </c>
      <c r="S31" s="535">
        <f>CCBASE!$I$8</f>
        <v>16.25526</v>
      </c>
      <c r="T31" s="534"/>
      <c r="U31" s="534"/>
      <c r="V31" s="534"/>
      <c r="W31" s="535">
        <f>CCBASE!$I$42*B31/1000</f>
        <v>106.32088499999999</v>
      </c>
      <c r="X31" s="535"/>
      <c r="Y31" s="535"/>
      <c r="Z31" s="535"/>
      <c r="AA31" s="535"/>
      <c r="AB31" s="535"/>
      <c r="AC31" s="535"/>
      <c r="AD31" s="535">
        <f>CCBASE!$I$34*2</f>
        <v>209.37365399999999</v>
      </c>
      <c r="AI31" s="537"/>
      <c r="AJ31" s="537"/>
      <c r="AK31" s="538"/>
      <c r="AL31" s="538"/>
      <c r="AM31" s="538"/>
      <c r="AN31" s="538"/>
      <c r="AO31" s="538"/>
      <c r="AP31" s="538"/>
      <c r="AQ31" s="538"/>
      <c r="AR31" s="538"/>
      <c r="AS31" s="538"/>
    </row>
    <row r="32" spans="1:45" x14ac:dyDescent="0.2">
      <c r="A32" s="533" t="s">
        <v>1060</v>
      </c>
      <c r="B32" s="533">
        <v>1750</v>
      </c>
      <c r="C32" s="533">
        <v>1750</v>
      </c>
      <c r="D32" s="533" t="str">
        <f t="shared" si="0"/>
        <v>UVX17501750</v>
      </c>
      <c r="E32" s="907">
        <f t="shared" si="1"/>
        <v>1398.1476555999998</v>
      </c>
      <c r="F32" s="534">
        <v>16</v>
      </c>
      <c r="G32" s="535">
        <f>F32*CCBASE!$B$51</f>
        <v>576</v>
      </c>
      <c r="H32" s="535">
        <f>CCBASE!$I$11*B32/1000</f>
        <v>281.73768385</v>
      </c>
      <c r="I32" s="535"/>
      <c r="J32" s="535"/>
      <c r="K32" s="535"/>
      <c r="L32" s="540"/>
      <c r="M32" s="535">
        <f>CCBASE!$I$15*B32/1000</f>
        <v>139.73029875</v>
      </c>
      <c r="N32" s="535"/>
      <c r="O32" s="535"/>
      <c r="P32" s="535">
        <f>CCBASE!$I$9</f>
        <v>39.7111223</v>
      </c>
      <c r="Q32" s="535">
        <f>CCBASE!$I$51</f>
        <v>2.9</v>
      </c>
      <c r="R32" s="535">
        <f>CCBASE!$I$4</f>
        <v>8.3986041999999994</v>
      </c>
      <c r="S32" s="535">
        <f>CCBASE!$I$8</f>
        <v>16.25526</v>
      </c>
      <c r="T32" s="534"/>
      <c r="U32" s="534"/>
      <c r="V32" s="534"/>
      <c r="W32" s="535">
        <f>CCBASE!$I$42*B32/1000</f>
        <v>124.0410325</v>
      </c>
      <c r="X32" s="535"/>
      <c r="Y32" s="535"/>
      <c r="Z32" s="535"/>
      <c r="AA32" s="535"/>
      <c r="AB32" s="535"/>
      <c r="AC32" s="535"/>
      <c r="AD32" s="535">
        <f>CCBASE!$I$34*2</f>
        <v>209.37365399999999</v>
      </c>
      <c r="AI32" s="537"/>
      <c r="AJ32" s="537"/>
    </row>
    <row r="33" spans="1:45" x14ac:dyDescent="0.2">
      <c r="A33" s="533" t="s">
        <v>1060</v>
      </c>
      <c r="B33" s="533">
        <v>2000</v>
      </c>
      <c r="C33" s="533">
        <v>1750</v>
      </c>
      <c r="D33" s="533" t="str">
        <f t="shared" si="0"/>
        <v>UVX20001750</v>
      </c>
      <c r="E33" s="907">
        <f t="shared" si="1"/>
        <v>1476.0775148999996</v>
      </c>
      <c r="F33" s="534">
        <v>16</v>
      </c>
      <c r="G33" s="535">
        <f>F33*CCBASE!$B$51</f>
        <v>576</v>
      </c>
      <c r="H33" s="535">
        <f>CCBASE!$I$11*B33/1000</f>
        <v>321.98592439999999</v>
      </c>
      <c r="I33" s="535"/>
      <c r="J33" s="535"/>
      <c r="K33" s="535"/>
      <c r="L33" s="540"/>
      <c r="M33" s="535">
        <f>CCBASE!$I$15*B33/1000</f>
        <v>159.69177000000002</v>
      </c>
      <c r="N33" s="535"/>
      <c r="O33" s="535"/>
      <c r="P33" s="535">
        <f>CCBASE!$I$9</f>
        <v>39.7111223</v>
      </c>
      <c r="Q33" s="535">
        <f>CCBASE!$I$51</f>
        <v>2.9</v>
      </c>
      <c r="R33" s="535">
        <f>CCBASE!$I$4</f>
        <v>8.3986041999999994</v>
      </c>
      <c r="S33" s="535">
        <f>CCBASE!$I$8</f>
        <v>16.25526</v>
      </c>
      <c r="T33" s="534"/>
      <c r="U33" s="534"/>
      <c r="V33" s="534"/>
      <c r="W33" s="535">
        <f>CCBASE!$I$42*B33/1000</f>
        <v>141.76118</v>
      </c>
      <c r="X33" s="535"/>
      <c r="Y33" s="535"/>
      <c r="Z33" s="535"/>
      <c r="AA33" s="535"/>
      <c r="AB33" s="535"/>
      <c r="AC33" s="535"/>
      <c r="AD33" s="535">
        <f>CCBASE!$I$34*2</f>
        <v>209.37365399999999</v>
      </c>
      <c r="AI33" s="537"/>
      <c r="AJ33" s="537"/>
    </row>
    <row r="34" spans="1:45" x14ac:dyDescent="0.2">
      <c r="A34" s="533" t="s">
        <v>1060</v>
      </c>
      <c r="B34" s="533">
        <v>2250</v>
      </c>
      <c r="C34" s="533">
        <v>1750</v>
      </c>
      <c r="D34" s="533" t="str">
        <f t="shared" si="0"/>
        <v>UVX22501750</v>
      </c>
      <c r="E34" s="907">
        <f t="shared" si="1"/>
        <v>1626.0073741999997</v>
      </c>
      <c r="F34" s="534">
        <v>18</v>
      </c>
      <c r="G34" s="535">
        <f>F34*CCBASE!$B$51</f>
        <v>648</v>
      </c>
      <c r="H34" s="535">
        <f>CCBASE!$I$11*B34/1000</f>
        <v>362.23416494999998</v>
      </c>
      <c r="I34" s="535"/>
      <c r="J34" s="535"/>
      <c r="K34" s="535"/>
      <c r="L34" s="540"/>
      <c r="M34" s="535">
        <f>CCBASE!$I$15*B34/1000</f>
        <v>179.65324125000001</v>
      </c>
      <c r="N34" s="535"/>
      <c r="O34" s="535"/>
      <c r="P34" s="535">
        <f>CCBASE!$I$9</f>
        <v>39.7111223</v>
      </c>
      <c r="Q34" s="535">
        <f>CCBASE!$I$51</f>
        <v>2.9</v>
      </c>
      <c r="R34" s="535">
        <f>CCBASE!$I$4</f>
        <v>8.3986041999999994</v>
      </c>
      <c r="S34" s="535">
        <f>CCBASE!$I$8</f>
        <v>16.25526</v>
      </c>
      <c r="T34" s="534"/>
      <c r="U34" s="534"/>
      <c r="V34" s="534"/>
      <c r="W34" s="535">
        <f>CCBASE!$I$42*B34/1000</f>
        <v>159.48132749999999</v>
      </c>
      <c r="X34" s="535"/>
      <c r="Y34" s="535"/>
      <c r="Z34" s="535"/>
      <c r="AA34" s="535"/>
      <c r="AB34" s="535"/>
      <c r="AC34" s="535"/>
      <c r="AD34" s="535">
        <f>CCBASE!$I$34*2</f>
        <v>209.37365399999999</v>
      </c>
      <c r="AI34" s="537"/>
      <c r="AJ34" s="537"/>
      <c r="AR34" s="538"/>
      <c r="AS34" s="538"/>
    </row>
    <row r="35" spans="1:45" x14ac:dyDescent="0.2">
      <c r="A35" s="533" t="s">
        <v>1060</v>
      </c>
      <c r="B35" s="533">
        <v>2500</v>
      </c>
      <c r="C35" s="533">
        <v>1750</v>
      </c>
      <c r="D35" s="533" t="str">
        <f t="shared" si="0"/>
        <v>UVX25001750</v>
      </c>
      <c r="E35" s="907">
        <f t="shared" si="1"/>
        <v>1703.9372334999998</v>
      </c>
      <c r="F35" s="534">
        <v>18</v>
      </c>
      <c r="G35" s="535">
        <f>F35*CCBASE!$B$51</f>
        <v>648</v>
      </c>
      <c r="H35" s="535">
        <f>CCBASE!$I$11*B35/1000</f>
        <v>402.48240549999997</v>
      </c>
      <c r="I35" s="535"/>
      <c r="J35" s="535"/>
      <c r="K35" s="535"/>
      <c r="L35" s="540"/>
      <c r="M35" s="535">
        <f>CCBASE!$I$15*B35/1000</f>
        <v>199.61471250000002</v>
      </c>
      <c r="N35" s="535"/>
      <c r="O35" s="535"/>
      <c r="P35" s="535">
        <f>CCBASE!$I$9</f>
        <v>39.7111223</v>
      </c>
      <c r="Q35" s="535">
        <f>CCBASE!$I$51</f>
        <v>2.9</v>
      </c>
      <c r="R35" s="535">
        <f>CCBASE!$I$4</f>
        <v>8.3986041999999994</v>
      </c>
      <c r="S35" s="535">
        <f>CCBASE!$I$8</f>
        <v>16.25526</v>
      </c>
      <c r="T35" s="534"/>
      <c r="U35" s="534"/>
      <c r="V35" s="534"/>
      <c r="W35" s="535">
        <f>CCBASE!$I$42*B35/1000</f>
        <v>177.20147500000002</v>
      </c>
      <c r="X35" s="535"/>
      <c r="Y35" s="535"/>
      <c r="Z35" s="535"/>
      <c r="AA35" s="535"/>
      <c r="AB35" s="535"/>
      <c r="AC35" s="535"/>
      <c r="AD35" s="535">
        <f>CCBASE!$I$34*2</f>
        <v>209.37365399999999</v>
      </c>
      <c r="AI35" s="537"/>
      <c r="AJ35" s="537"/>
      <c r="AR35" s="538"/>
      <c r="AS35" s="538"/>
    </row>
    <row r="36" spans="1:45" x14ac:dyDescent="0.2">
      <c r="A36" s="533" t="s">
        <v>1060</v>
      </c>
      <c r="B36" s="533">
        <v>2750</v>
      </c>
      <c r="C36" s="533">
        <v>1750</v>
      </c>
      <c r="D36" s="533" t="str">
        <f t="shared" si="0"/>
        <v>UVX27501750</v>
      </c>
      <c r="E36" s="907">
        <f t="shared" si="1"/>
        <v>1781.8670927999997</v>
      </c>
      <c r="F36" s="534">
        <v>18</v>
      </c>
      <c r="G36" s="535">
        <f>F36*CCBASE!$B$51</f>
        <v>648</v>
      </c>
      <c r="H36" s="535">
        <f>CCBASE!$I$11*B36/1000</f>
        <v>442.73064604999996</v>
      </c>
      <c r="I36" s="535"/>
      <c r="J36" s="535"/>
      <c r="K36" s="535"/>
      <c r="L36" s="540"/>
      <c r="M36" s="535">
        <f>CCBASE!$I$15*B36/1000</f>
        <v>219.57618375000001</v>
      </c>
      <c r="N36" s="535"/>
      <c r="O36" s="535"/>
      <c r="P36" s="535">
        <f>CCBASE!$I$9</f>
        <v>39.7111223</v>
      </c>
      <c r="Q36" s="535">
        <f>CCBASE!$I$51</f>
        <v>2.9</v>
      </c>
      <c r="R36" s="535">
        <f>CCBASE!$I$4</f>
        <v>8.3986041999999994</v>
      </c>
      <c r="S36" s="535">
        <f>CCBASE!$I$8</f>
        <v>16.25526</v>
      </c>
      <c r="T36" s="534"/>
      <c r="U36" s="534"/>
      <c r="V36" s="534"/>
      <c r="W36" s="535">
        <f>CCBASE!$I$42*B36/1000</f>
        <v>194.92162249999998</v>
      </c>
      <c r="X36" s="535"/>
      <c r="Y36" s="535"/>
      <c r="Z36" s="535"/>
      <c r="AA36" s="535"/>
      <c r="AB36" s="535"/>
      <c r="AC36" s="535"/>
      <c r="AD36" s="535">
        <f>CCBASE!$I$34*2</f>
        <v>209.37365399999999</v>
      </c>
      <c r="AI36" s="537"/>
      <c r="AJ36" s="537"/>
      <c r="AK36" s="538"/>
      <c r="AL36" s="538"/>
      <c r="AM36" s="538"/>
      <c r="AN36" s="538"/>
      <c r="AO36" s="538"/>
      <c r="AP36" s="538"/>
      <c r="AQ36" s="538"/>
      <c r="AR36" s="538"/>
      <c r="AS36" s="538"/>
    </row>
    <row r="37" spans="1:45" x14ac:dyDescent="0.2">
      <c r="A37" s="533" t="s">
        <v>1060</v>
      </c>
      <c r="B37" s="533">
        <v>3000</v>
      </c>
      <c r="C37" s="533">
        <v>1750</v>
      </c>
      <c r="D37" s="533" t="str">
        <f t="shared" si="0"/>
        <v>UVX30001750</v>
      </c>
      <c r="E37" s="907">
        <f t="shared" si="1"/>
        <v>1859.7969520999998</v>
      </c>
      <c r="F37" s="534">
        <v>18</v>
      </c>
      <c r="G37" s="535">
        <f>F37*CCBASE!$B$51</f>
        <v>648</v>
      </c>
      <c r="H37" s="535">
        <f>CCBASE!$I$11*B37/1000</f>
        <v>482.97888659999995</v>
      </c>
      <c r="I37" s="535"/>
      <c r="J37" s="535"/>
      <c r="K37" s="535"/>
      <c r="L37" s="540"/>
      <c r="M37" s="535">
        <f>CCBASE!$I$15*B37/1000</f>
        <v>239.53765500000003</v>
      </c>
      <c r="N37" s="535"/>
      <c r="O37" s="535"/>
      <c r="P37" s="535">
        <f>CCBASE!$I$9</f>
        <v>39.7111223</v>
      </c>
      <c r="Q37" s="535">
        <f>CCBASE!$I$51</f>
        <v>2.9</v>
      </c>
      <c r="R37" s="535">
        <f>CCBASE!$I$4</f>
        <v>8.3986041999999994</v>
      </c>
      <c r="S37" s="535">
        <f>CCBASE!$I$8</f>
        <v>16.25526</v>
      </c>
      <c r="T37" s="534"/>
      <c r="U37" s="534"/>
      <c r="V37" s="534"/>
      <c r="W37" s="535">
        <f>CCBASE!$I$42*B37/1000</f>
        <v>212.64176999999998</v>
      </c>
      <c r="X37" s="535"/>
      <c r="Y37" s="535"/>
      <c r="Z37" s="535"/>
      <c r="AA37" s="535"/>
      <c r="AB37" s="535"/>
      <c r="AC37" s="535"/>
      <c r="AD37" s="535">
        <f>CCBASE!$I$34*2</f>
        <v>209.37365399999999</v>
      </c>
      <c r="AI37" s="537"/>
      <c r="AJ37" s="537"/>
      <c r="AK37" s="538"/>
      <c r="AL37" s="538"/>
      <c r="AM37" s="538"/>
      <c r="AN37" s="538"/>
      <c r="AO37" s="538"/>
      <c r="AP37" s="538"/>
      <c r="AQ37" s="538"/>
      <c r="AR37" s="538"/>
      <c r="AS37" s="538"/>
    </row>
    <row r="38" spans="1:45" x14ac:dyDescent="0.2">
      <c r="A38" s="533" t="s">
        <v>1060</v>
      </c>
      <c r="B38" s="533">
        <v>1000</v>
      </c>
      <c r="C38" s="533">
        <v>2000</v>
      </c>
      <c r="D38" s="533" t="str">
        <f t="shared" si="0"/>
        <v>UVX10002000</v>
      </c>
      <c r="E38" s="907">
        <f t="shared" si="1"/>
        <v>1247.5752333999999</v>
      </c>
      <c r="F38" s="534">
        <v>16</v>
      </c>
      <c r="G38" s="535">
        <f>F38*CCBASE!$B$51</f>
        <v>576</v>
      </c>
      <c r="H38" s="535">
        <f>CCBASE!$I$11*B38/1000</f>
        <v>160.99296219999999</v>
      </c>
      <c r="I38" s="535"/>
      <c r="J38" s="535"/>
      <c r="K38" s="535"/>
      <c r="L38" s="540"/>
      <c r="M38" s="535">
        <f>CCBASE!$I$15*B38/1000</f>
        <v>79.84588500000001</v>
      </c>
      <c r="N38" s="535"/>
      <c r="O38" s="535"/>
      <c r="P38" s="535">
        <f>CCBASE!$I$10</f>
        <v>30.661922000000001</v>
      </c>
      <c r="Q38" s="535">
        <f>CCBASE!$I$51</f>
        <v>2.9</v>
      </c>
      <c r="R38" s="535">
        <f>CCBASE!$I$4</f>
        <v>8.3986041999999994</v>
      </c>
      <c r="S38" s="535">
        <f>CCBASE!$I$8</f>
        <v>16.25526</v>
      </c>
      <c r="T38" s="534"/>
      <c r="U38" s="534"/>
      <c r="V38" s="534"/>
      <c r="W38" s="535">
        <f>CCBASE!$I$43*B38/1000</f>
        <v>88.624119999999991</v>
      </c>
      <c r="X38" s="535"/>
      <c r="Y38" s="535"/>
      <c r="Z38" s="535"/>
      <c r="AA38" s="535"/>
      <c r="AB38" s="535"/>
      <c r="AC38" s="535"/>
      <c r="AD38" s="535">
        <f>CCBASE!$I$35*2</f>
        <v>283.89648</v>
      </c>
      <c r="AI38" s="537"/>
      <c r="AJ38" s="537"/>
      <c r="AK38" s="538"/>
      <c r="AL38" s="538"/>
      <c r="AM38" s="538"/>
      <c r="AN38" s="538"/>
      <c r="AO38" s="538"/>
      <c r="AP38" s="538"/>
      <c r="AQ38" s="538"/>
      <c r="AR38" s="538"/>
      <c r="AS38" s="538"/>
    </row>
    <row r="39" spans="1:45" x14ac:dyDescent="0.2">
      <c r="A39" s="533" t="s">
        <v>1060</v>
      </c>
      <c r="B39" s="533">
        <v>1250</v>
      </c>
      <c r="C39" s="533">
        <v>2000</v>
      </c>
      <c r="D39" s="533" t="str">
        <f t="shared" si="0"/>
        <v>UVX12502000</v>
      </c>
      <c r="E39" s="907">
        <f t="shared" si="1"/>
        <v>1329.9409752000001</v>
      </c>
      <c r="F39" s="534">
        <v>16</v>
      </c>
      <c r="G39" s="535">
        <f>F39*CCBASE!$B$51</f>
        <v>576</v>
      </c>
      <c r="H39" s="535">
        <f>CCBASE!$I$11*B39/1000</f>
        <v>201.24120274999999</v>
      </c>
      <c r="I39" s="535"/>
      <c r="J39" s="535"/>
      <c r="K39" s="535"/>
      <c r="L39" s="540"/>
      <c r="M39" s="535">
        <f>CCBASE!$I$15*B39/1000</f>
        <v>99.807356250000012</v>
      </c>
      <c r="N39" s="535"/>
      <c r="O39" s="535"/>
      <c r="P39" s="535">
        <f>CCBASE!$I$10</f>
        <v>30.661922000000001</v>
      </c>
      <c r="Q39" s="535">
        <f>CCBASE!$I$51</f>
        <v>2.9</v>
      </c>
      <c r="R39" s="535">
        <f>CCBASE!$I$4</f>
        <v>8.3986041999999994</v>
      </c>
      <c r="S39" s="535">
        <f>CCBASE!$I$8</f>
        <v>16.25526</v>
      </c>
      <c r="T39" s="534"/>
      <c r="U39" s="534"/>
      <c r="V39" s="534"/>
      <c r="W39" s="535">
        <f>CCBASE!$I$43*B39/1000</f>
        <v>110.78014999999999</v>
      </c>
      <c r="X39" s="535"/>
      <c r="Y39" s="535"/>
      <c r="Z39" s="535"/>
      <c r="AA39" s="535"/>
      <c r="AB39" s="535"/>
      <c r="AC39" s="535"/>
      <c r="AD39" s="535">
        <f>CCBASE!$I$35*2</f>
        <v>283.89648</v>
      </c>
      <c r="AI39" s="537"/>
      <c r="AJ39" s="537"/>
      <c r="AK39" s="538"/>
      <c r="AL39" s="538"/>
      <c r="AM39" s="538"/>
      <c r="AN39" s="538"/>
      <c r="AO39" s="538"/>
      <c r="AP39" s="538"/>
      <c r="AQ39" s="538"/>
      <c r="AR39" s="538"/>
      <c r="AS39" s="538"/>
    </row>
    <row r="40" spans="1:45" x14ac:dyDescent="0.2">
      <c r="A40" s="533" t="s">
        <v>1060</v>
      </c>
      <c r="B40" s="533">
        <v>1500</v>
      </c>
      <c r="C40" s="533">
        <v>2000</v>
      </c>
      <c r="D40" s="533" t="str">
        <f t="shared" si="0"/>
        <v>UVX15002000</v>
      </c>
      <c r="E40" s="907">
        <f t="shared" si="1"/>
        <v>1412.3067169999999</v>
      </c>
      <c r="F40" s="534">
        <v>16</v>
      </c>
      <c r="G40" s="535">
        <f>F40*CCBASE!$B$51</f>
        <v>576</v>
      </c>
      <c r="H40" s="535">
        <f>CCBASE!$I$11*B40/1000</f>
        <v>241.48944329999998</v>
      </c>
      <c r="I40" s="535"/>
      <c r="J40" s="535"/>
      <c r="K40" s="535"/>
      <c r="L40" s="540"/>
      <c r="M40" s="535">
        <f>CCBASE!$I$15*B40/1000</f>
        <v>119.76882750000001</v>
      </c>
      <c r="N40" s="535"/>
      <c r="O40" s="535"/>
      <c r="P40" s="535">
        <f>CCBASE!$I$10</f>
        <v>30.661922000000001</v>
      </c>
      <c r="Q40" s="535">
        <f>CCBASE!$I$51</f>
        <v>2.9</v>
      </c>
      <c r="R40" s="535">
        <f>CCBASE!$I$4</f>
        <v>8.3986041999999994</v>
      </c>
      <c r="S40" s="535">
        <f>CCBASE!$I$8</f>
        <v>16.25526</v>
      </c>
      <c r="T40" s="534"/>
      <c r="U40" s="534"/>
      <c r="V40" s="534"/>
      <c r="W40" s="535">
        <f>CCBASE!$I$43*B40/1000</f>
        <v>132.93617999999998</v>
      </c>
      <c r="X40" s="535"/>
      <c r="Y40" s="535"/>
      <c r="Z40" s="535"/>
      <c r="AA40" s="535"/>
      <c r="AB40" s="535"/>
      <c r="AC40" s="535"/>
      <c r="AD40" s="535">
        <f>CCBASE!$I$35*2</f>
        <v>283.89648</v>
      </c>
      <c r="AI40" s="537"/>
      <c r="AJ40" s="537"/>
      <c r="AK40" s="538"/>
      <c r="AL40" s="538"/>
      <c r="AM40" s="538"/>
      <c r="AN40" s="538"/>
      <c r="AO40" s="538"/>
      <c r="AP40" s="538"/>
      <c r="AQ40" s="538"/>
      <c r="AR40" s="538"/>
      <c r="AS40" s="538"/>
    </row>
    <row r="41" spans="1:45" x14ac:dyDescent="0.2">
      <c r="A41" s="533" t="s">
        <v>1060</v>
      </c>
      <c r="B41" s="533">
        <v>1750</v>
      </c>
      <c r="C41" s="533">
        <v>2000</v>
      </c>
      <c r="D41" s="533" t="str">
        <f t="shared" si="0"/>
        <v>UVX17502000</v>
      </c>
      <c r="E41" s="907">
        <f t="shared" si="1"/>
        <v>1494.6724587999997</v>
      </c>
      <c r="F41" s="534">
        <v>16</v>
      </c>
      <c r="G41" s="535">
        <f>F41*CCBASE!$B$51</f>
        <v>576</v>
      </c>
      <c r="H41" s="535">
        <f>CCBASE!$I$11*B41/1000</f>
        <v>281.73768385</v>
      </c>
      <c r="I41" s="535"/>
      <c r="J41" s="535"/>
      <c r="K41" s="535"/>
      <c r="L41" s="540"/>
      <c r="M41" s="535">
        <f>CCBASE!$I$15*B41/1000</f>
        <v>139.73029875</v>
      </c>
      <c r="N41" s="535"/>
      <c r="O41" s="535"/>
      <c r="P41" s="535">
        <f>CCBASE!$I$10</f>
        <v>30.661922000000001</v>
      </c>
      <c r="Q41" s="535">
        <f>CCBASE!$I$51</f>
        <v>2.9</v>
      </c>
      <c r="R41" s="535">
        <f>CCBASE!$I$4</f>
        <v>8.3986041999999994</v>
      </c>
      <c r="S41" s="535">
        <f>CCBASE!$I$8</f>
        <v>16.25526</v>
      </c>
      <c r="T41" s="534"/>
      <c r="U41" s="534"/>
      <c r="V41" s="534"/>
      <c r="W41" s="535">
        <f>CCBASE!$I$43*B41/1000</f>
        <v>155.09220999999999</v>
      </c>
      <c r="X41" s="535"/>
      <c r="Y41" s="535"/>
      <c r="Z41" s="535"/>
      <c r="AA41" s="535"/>
      <c r="AB41" s="535"/>
      <c r="AC41" s="535"/>
      <c r="AD41" s="535">
        <f>CCBASE!$I$35*2</f>
        <v>283.89648</v>
      </c>
      <c r="AI41" s="537"/>
      <c r="AJ41" s="537"/>
      <c r="AK41" s="538"/>
      <c r="AL41" s="538"/>
      <c r="AM41" s="538"/>
      <c r="AN41" s="538"/>
      <c r="AO41" s="538"/>
      <c r="AP41" s="538"/>
      <c r="AQ41" s="538"/>
      <c r="AR41" s="538"/>
      <c r="AS41" s="538"/>
    </row>
    <row r="42" spans="1:45" x14ac:dyDescent="0.2">
      <c r="A42" s="533" t="s">
        <v>1060</v>
      </c>
      <c r="B42" s="533">
        <v>2000</v>
      </c>
      <c r="C42" s="533">
        <v>2000</v>
      </c>
      <c r="D42" s="533" t="str">
        <f t="shared" si="0"/>
        <v>UVX20002000</v>
      </c>
      <c r="E42" s="907">
        <f t="shared" si="1"/>
        <v>1586.0874008999995</v>
      </c>
      <c r="F42" s="534">
        <v>16</v>
      </c>
      <c r="G42" s="535">
        <f>F42*CCBASE!$B$51</f>
        <v>576</v>
      </c>
      <c r="H42" s="535">
        <f>CCBASE!$I$11*B42/1000</f>
        <v>321.98592439999999</v>
      </c>
      <c r="I42" s="535"/>
      <c r="J42" s="535"/>
      <c r="K42" s="535"/>
      <c r="L42" s="540"/>
      <c r="M42" s="535">
        <f>CCBASE!$I$15*B42/1000</f>
        <v>159.69177000000002</v>
      </c>
      <c r="N42" s="535"/>
      <c r="O42" s="535"/>
      <c r="P42" s="535">
        <f>CCBASE!$I$9</f>
        <v>39.7111223</v>
      </c>
      <c r="Q42" s="535">
        <f>CCBASE!$I$51</f>
        <v>2.9</v>
      </c>
      <c r="R42" s="535">
        <f>CCBASE!$I$4</f>
        <v>8.3986041999999994</v>
      </c>
      <c r="S42" s="535">
        <f>CCBASE!$I$8</f>
        <v>16.25526</v>
      </c>
      <c r="T42" s="534"/>
      <c r="U42" s="534"/>
      <c r="V42" s="534"/>
      <c r="W42" s="535">
        <f>CCBASE!$I$43*B42/1000</f>
        <v>177.24823999999998</v>
      </c>
      <c r="X42" s="535"/>
      <c r="Y42" s="535"/>
      <c r="Z42" s="535"/>
      <c r="AA42" s="535"/>
      <c r="AB42" s="535"/>
      <c r="AC42" s="535"/>
      <c r="AD42" s="535">
        <f>CCBASE!$I$35*2</f>
        <v>283.89648</v>
      </c>
      <c r="AI42" s="537"/>
      <c r="AJ42" s="537"/>
    </row>
    <row r="43" spans="1:45" x14ac:dyDescent="0.2">
      <c r="A43" s="533" t="s">
        <v>1060</v>
      </c>
      <c r="B43" s="533">
        <v>2250</v>
      </c>
      <c r="C43" s="533">
        <v>2000</v>
      </c>
      <c r="D43" s="533" t="str">
        <f t="shared" si="0"/>
        <v>UVX22502000</v>
      </c>
      <c r="E43" s="907">
        <f t="shared" si="1"/>
        <v>1740.4531426999997</v>
      </c>
      <c r="F43" s="534">
        <v>18</v>
      </c>
      <c r="G43" s="535">
        <f>F43*CCBASE!$B$51</f>
        <v>648</v>
      </c>
      <c r="H43" s="535">
        <f>CCBASE!$I$11*B43/1000</f>
        <v>362.23416494999998</v>
      </c>
      <c r="I43" s="535"/>
      <c r="J43" s="535"/>
      <c r="K43" s="535"/>
      <c r="L43" s="540"/>
      <c r="M43" s="535">
        <f>CCBASE!$I$15*B43/1000</f>
        <v>179.65324125000001</v>
      </c>
      <c r="N43" s="535"/>
      <c r="O43" s="535"/>
      <c r="P43" s="535">
        <f>CCBASE!$I$9</f>
        <v>39.7111223</v>
      </c>
      <c r="Q43" s="535">
        <f>CCBASE!$I$51</f>
        <v>2.9</v>
      </c>
      <c r="R43" s="535">
        <f>CCBASE!$I$4</f>
        <v>8.3986041999999994</v>
      </c>
      <c r="S43" s="535">
        <f>CCBASE!$I$8</f>
        <v>16.25526</v>
      </c>
      <c r="T43" s="534"/>
      <c r="U43" s="534"/>
      <c r="V43" s="534"/>
      <c r="W43" s="535">
        <f>CCBASE!$I$43*B43/1000</f>
        <v>199.40427</v>
      </c>
      <c r="X43" s="535"/>
      <c r="Y43" s="535"/>
      <c r="Z43" s="535"/>
      <c r="AA43" s="535"/>
      <c r="AB43" s="535"/>
      <c r="AC43" s="535"/>
      <c r="AD43" s="535">
        <f>CCBASE!$I$35*2</f>
        <v>283.89648</v>
      </c>
      <c r="AI43" s="537"/>
      <c r="AJ43" s="537"/>
      <c r="AR43" s="538"/>
      <c r="AS43" s="538"/>
    </row>
    <row r="44" spans="1:45" x14ac:dyDescent="0.2">
      <c r="A44" s="533" t="s">
        <v>1060</v>
      </c>
      <c r="B44" s="533">
        <v>2500</v>
      </c>
      <c r="C44" s="533">
        <v>2000</v>
      </c>
      <c r="D44" s="533" t="str">
        <f t="shared" si="0"/>
        <v>UVX25002000</v>
      </c>
      <c r="E44" s="907">
        <f t="shared" si="1"/>
        <v>1822.8188844999995</v>
      </c>
      <c r="F44" s="534">
        <v>18</v>
      </c>
      <c r="G44" s="535">
        <f>F44*CCBASE!$B$51</f>
        <v>648</v>
      </c>
      <c r="H44" s="535">
        <f>CCBASE!$I$11*B44/1000</f>
        <v>402.48240549999997</v>
      </c>
      <c r="I44" s="535"/>
      <c r="J44" s="535"/>
      <c r="K44" s="535"/>
      <c r="L44" s="540"/>
      <c r="M44" s="535">
        <f>CCBASE!$I$15*B44/1000</f>
        <v>199.61471250000002</v>
      </c>
      <c r="N44" s="535"/>
      <c r="O44" s="535"/>
      <c r="P44" s="535">
        <f>CCBASE!$I$9</f>
        <v>39.7111223</v>
      </c>
      <c r="Q44" s="535">
        <f>CCBASE!$I$51</f>
        <v>2.9</v>
      </c>
      <c r="R44" s="535">
        <f>CCBASE!$I$4</f>
        <v>8.3986041999999994</v>
      </c>
      <c r="S44" s="535">
        <f>CCBASE!$I$8</f>
        <v>16.25526</v>
      </c>
      <c r="T44" s="534"/>
      <c r="U44" s="534"/>
      <c r="V44" s="534"/>
      <c r="W44" s="535">
        <f>CCBASE!$I$43*B44/1000</f>
        <v>221.56029999999998</v>
      </c>
      <c r="X44" s="535"/>
      <c r="Y44" s="535"/>
      <c r="Z44" s="535"/>
      <c r="AA44" s="535"/>
      <c r="AB44" s="535"/>
      <c r="AC44" s="535"/>
      <c r="AD44" s="535">
        <f>CCBASE!$I$35*2</f>
        <v>283.89648</v>
      </c>
      <c r="AI44" s="537"/>
      <c r="AJ44" s="537"/>
      <c r="AR44" s="538"/>
      <c r="AS44" s="538"/>
    </row>
    <row r="45" spans="1:45" x14ac:dyDescent="0.2">
      <c r="A45" s="533" t="s">
        <v>1060</v>
      </c>
      <c r="B45" s="533">
        <v>2750</v>
      </c>
      <c r="C45" s="533">
        <v>2000</v>
      </c>
      <c r="D45" s="533" t="str">
        <f t="shared" si="0"/>
        <v>UVX27502000</v>
      </c>
      <c r="E45" s="907">
        <f t="shared" si="1"/>
        <v>1905.1846262999998</v>
      </c>
      <c r="F45" s="534">
        <v>18</v>
      </c>
      <c r="G45" s="535">
        <f>F45*CCBASE!$B$51</f>
        <v>648</v>
      </c>
      <c r="H45" s="535">
        <f>CCBASE!$I$11*B45/1000</f>
        <v>442.73064604999996</v>
      </c>
      <c r="I45" s="535"/>
      <c r="J45" s="535"/>
      <c r="K45" s="535"/>
      <c r="L45" s="540"/>
      <c r="M45" s="535">
        <f>CCBASE!$I$15*B45/1000</f>
        <v>219.57618375000001</v>
      </c>
      <c r="N45" s="535"/>
      <c r="O45" s="535"/>
      <c r="P45" s="535">
        <f>CCBASE!$I$9</f>
        <v>39.7111223</v>
      </c>
      <c r="Q45" s="535">
        <f>CCBASE!$I$51</f>
        <v>2.9</v>
      </c>
      <c r="R45" s="535">
        <f>CCBASE!$I$4</f>
        <v>8.3986041999999994</v>
      </c>
      <c r="S45" s="535">
        <f>CCBASE!$I$8</f>
        <v>16.25526</v>
      </c>
      <c r="T45" s="534"/>
      <c r="U45" s="534"/>
      <c r="V45" s="534"/>
      <c r="W45" s="535">
        <f>CCBASE!$I$43*B45/1000</f>
        <v>243.71633</v>
      </c>
      <c r="X45" s="535"/>
      <c r="Y45" s="535"/>
      <c r="Z45" s="535"/>
      <c r="AA45" s="535"/>
      <c r="AB45" s="535"/>
      <c r="AC45" s="535"/>
      <c r="AD45" s="535">
        <f>CCBASE!$I$35*2</f>
        <v>283.89648</v>
      </c>
      <c r="AI45" s="537"/>
      <c r="AJ45" s="537"/>
      <c r="AK45" s="538"/>
      <c r="AL45" s="538"/>
      <c r="AM45" s="538"/>
      <c r="AN45" s="538"/>
      <c r="AO45" s="538"/>
      <c r="AP45" s="538"/>
      <c r="AQ45" s="538"/>
      <c r="AR45" s="538"/>
      <c r="AS45" s="538"/>
    </row>
    <row r="46" spans="1:45" x14ac:dyDescent="0.2">
      <c r="A46" s="533" t="s">
        <v>1060</v>
      </c>
      <c r="B46" s="533">
        <v>3000</v>
      </c>
      <c r="C46" s="533">
        <v>2000</v>
      </c>
      <c r="D46" s="533" t="str">
        <f t="shared" si="0"/>
        <v>UVX30002000</v>
      </c>
      <c r="E46" s="907">
        <f t="shared" si="1"/>
        <v>1987.5503680999996</v>
      </c>
      <c r="F46" s="534">
        <v>18</v>
      </c>
      <c r="G46" s="535">
        <f>F46*CCBASE!$B$51</f>
        <v>648</v>
      </c>
      <c r="H46" s="535">
        <f>CCBASE!$I$11*B46/1000</f>
        <v>482.97888659999995</v>
      </c>
      <c r="I46" s="535"/>
      <c r="J46" s="535"/>
      <c r="K46" s="535"/>
      <c r="L46" s="540"/>
      <c r="M46" s="535">
        <f>CCBASE!$I$15*B46/1000</f>
        <v>239.53765500000003</v>
      </c>
      <c r="N46" s="535"/>
      <c r="O46" s="535"/>
      <c r="P46" s="535">
        <f>CCBASE!$I$9</f>
        <v>39.7111223</v>
      </c>
      <c r="Q46" s="535">
        <f>CCBASE!$I$51</f>
        <v>2.9</v>
      </c>
      <c r="R46" s="535">
        <f>CCBASE!$I$4</f>
        <v>8.3986041999999994</v>
      </c>
      <c r="S46" s="535">
        <f>CCBASE!$I$8</f>
        <v>16.25526</v>
      </c>
      <c r="T46" s="534"/>
      <c r="U46" s="534"/>
      <c r="V46" s="534"/>
      <c r="W46" s="535">
        <f>CCBASE!$I$43*B46/1000</f>
        <v>265.87235999999996</v>
      </c>
      <c r="X46" s="535"/>
      <c r="Y46" s="535"/>
      <c r="Z46" s="535"/>
      <c r="AA46" s="535"/>
      <c r="AB46" s="535"/>
      <c r="AC46" s="535"/>
      <c r="AD46" s="535">
        <f>CCBASE!$I$35*2</f>
        <v>283.89648</v>
      </c>
      <c r="AI46" s="537"/>
      <c r="AJ46" s="537"/>
      <c r="AK46" s="538"/>
      <c r="AL46" s="538"/>
      <c r="AM46" s="538"/>
      <c r="AN46" s="538"/>
      <c r="AO46" s="538"/>
      <c r="AP46" s="538"/>
      <c r="AQ46" s="538"/>
      <c r="AR46" s="538"/>
      <c r="AS46" s="538"/>
    </row>
    <row r="47" spans="1:45" x14ac:dyDescent="0.2">
      <c r="A47" s="533" t="s">
        <v>1075</v>
      </c>
      <c r="B47" s="533">
        <v>1000</v>
      </c>
      <c r="C47" s="533">
        <v>1000</v>
      </c>
      <c r="D47" s="533" t="str">
        <f t="shared" ref="D47:D78" si="2">A47&amp;B47&amp;C47</f>
        <v>UVI10001000</v>
      </c>
      <c r="E47" s="907">
        <f t="shared" si="1"/>
        <v>1452.4405663999999</v>
      </c>
      <c r="F47" s="534">
        <v>19</v>
      </c>
      <c r="G47" s="535">
        <f>F47*CCBASE!$B$51</f>
        <v>684</v>
      </c>
      <c r="H47" s="535">
        <f>CCBASE!$I$11*B47/1000</f>
        <v>160.99296219999999</v>
      </c>
      <c r="I47" s="535"/>
      <c r="J47" s="535"/>
      <c r="K47" s="535"/>
      <c r="L47" s="535">
        <f>CCBASE!$I$14*B47/1000</f>
        <v>209.37365399999999</v>
      </c>
      <c r="M47" s="535"/>
      <c r="N47" s="535"/>
      <c r="O47" s="535">
        <f>CCBASE!$I$45*B47/1000</f>
        <v>9.9700000000000006</v>
      </c>
      <c r="P47" s="535">
        <f>CCBASE!$I$10</f>
        <v>30.661922000000001</v>
      </c>
      <c r="Q47" s="535">
        <f>CCBASE!$H$51</f>
        <v>5.16</v>
      </c>
      <c r="R47" s="535">
        <f>CCBASE!$I$4</f>
        <v>8.3986041999999994</v>
      </c>
      <c r="S47" s="535">
        <f>CCBASE!$I$8</f>
        <v>16.25526</v>
      </c>
      <c r="T47" s="535">
        <f>CCBASE!$I$44</f>
        <v>94.69</v>
      </c>
      <c r="U47" s="535"/>
      <c r="V47" s="535"/>
      <c r="W47" s="535">
        <f>CCBASE!$I$40*B47/1000</f>
        <v>41.308039999999998</v>
      </c>
      <c r="X47" s="535"/>
      <c r="Y47" s="535"/>
      <c r="Z47" s="535"/>
      <c r="AA47" s="535"/>
      <c r="AB47" s="535"/>
      <c r="AC47" s="535"/>
      <c r="AD47" s="535">
        <f>CCBASE!$I$36*2</f>
        <v>191.630124</v>
      </c>
      <c r="AI47" s="537"/>
      <c r="AJ47" s="537"/>
      <c r="AK47" s="538"/>
      <c r="AL47" s="538"/>
      <c r="AM47" s="538"/>
      <c r="AN47" s="538"/>
      <c r="AO47" s="538"/>
      <c r="AP47" s="538"/>
      <c r="AQ47" s="538"/>
      <c r="AR47" s="538"/>
      <c r="AS47" s="538"/>
    </row>
    <row r="48" spans="1:45" x14ac:dyDescent="0.2">
      <c r="A48" s="533" t="s">
        <v>1075</v>
      </c>
      <c r="B48" s="533">
        <v>1250</v>
      </c>
      <c r="C48" s="533">
        <v>1000</v>
      </c>
      <c r="D48" s="533" t="str">
        <f t="shared" si="2"/>
        <v>UVI12501000</v>
      </c>
      <c r="E48" s="907">
        <f t="shared" si="1"/>
        <v>1557.8517304500001</v>
      </c>
      <c r="F48" s="534">
        <v>19</v>
      </c>
      <c r="G48" s="535">
        <f>F48*CCBASE!$B$51</f>
        <v>684</v>
      </c>
      <c r="H48" s="535">
        <f>CCBASE!$I$11*B48/1000</f>
        <v>201.24120274999999</v>
      </c>
      <c r="I48" s="535"/>
      <c r="J48" s="535"/>
      <c r="K48" s="535"/>
      <c r="L48" s="535">
        <f>CCBASE!$I$14*B48/1000</f>
        <v>261.71706749999998</v>
      </c>
      <c r="M48" s="535"/>
      <c r="N48" s="535"/>
      <c r="O48" s="535">
        <f>CCBASE!$I$45*B48/1000</f>
        <v>12.4625</v>
      </c>
      <c r="P48" s="535">
        <f>CCBASE!$I$10</f>
        <v>30.661922000000001</v>
      </c>
      <c r="Q48" s="535">
        <f>CCBASE!$H$51</f>
        <v>5.16</v>
      </c>
      <c r="R48" s="535">
        <f>CCBASE!$I$4</f>
        <v>8.3986041999999994</v>
      </c>
      <c r="S48" s="535">
        <f>CCBASE!$I$8</f>
        <v>16.25526</v>
      </c>
      <c r="T48" s="535">
        <f>CCBASE!$I$44</f>
        <v>94.69</v>
      </c>
      <c r="U48" s="535"/>
      <c r="V48" s="535"/>
      <c r="W48" s="535">
        <f>CCBASE!$I$40*B48/1000</f>
        <v>51.635049999999993</v>
      </c>
      <c r="X48" s="535"/>
      <c r="Y48" s="535"/>
      <c r="Z48" s="535"/>
      <c r="AA48" s="535"/>
      <c r="AB48" s="535"/>
      <c r="AC48" s="535"/>
      <c r="AD48" s="535">
        <f>CCBASE!$I$36*2</f>
        <v>191.630124</v>
      </c>
      <c r="AJ48" s="541"/>
    </row>
    <row r="49" spans="1:36" x14ac:dyDescent="0.2">
      <c r="A49" s="533" t="s">
        <v>1075</v>
      </c>
      <c r="B49" s="533">
        <v>1500</v>
      </c>
      <c r="C49" s="533">
        <v>1000</v>
      </c>
      <c r="D49" s="533" t="str">
        <f t="shared" si="2"/>
        <v>UVI15001000</v>
      </c>
      <c r="E49" s="907">
        <f t="shared" si="1"/>
        <v>1663.2628944999999</v>
      </c>
      <c r="F49" s="534">
        <v>19</v>
      </c>
      <c r="G49" s="535">
        <f>F49*CCBASE!$B$51</f>
        <v>684</v>
      </c>
      <c r="H49" s="535">
        <f>CCBASE!$I$11*B49/1000</f>
        <v>241.48944329999998</v>
      </c>
      <c r="I49" s="535"/>
      <c r="J49" s="535"/>
      <c r="K49" s="535"/>
      <c r="L49" s="535">
        <f>CCBASE!$I$14*B49/1000</f>
        <v>314.06048099999998</v>
      </c>
      <c r="M49" s="535"/>
      <c r="N49" s="535"/>
      <c r="O49" s="535">
        <f>CCBASE!$I$45*B49/1000</f>
        <v>14.955000000000002</v>
      </c>
      <c r="P49" s="535">
        <f>CCBASE!$I$10</f>
        <v>30.661922000000001</v>
      </c>
      <c r="Q49" s="535">
        <f>CCBASE!$H$51</f>
        <v>5.16</v>
      </c>
      <c r="R49" s="535">
        <f>CCBASE!$I$4</f>
        <v>8.3986041999999994</v>
      </c>
      <c r="S49" s="535">
        <f>CCBASE!$I$8</f>
        <v>16.25526</v>
      </c>
      <c r="T49" s="535">
        <f>CCBASE!$I$44</f>
        <v>94.69</v>
      </c>
      <c r="U49" s="535"/>
      <c r="V49" s="535"/>
      <c r="W49" s="535">
        <f>CCBASE!$I$40*B49/1000</f>
        <v>61.962060000000001</v>
      </c>
      <c r="X49" s="535"/>
      <c r="Y49" s="535"/>
      <c r="Z49" s="535"/>
      <c r="AA49" s="535"/>
      <c r="AB49" s="535"/>
      <c r="AC49" s="535"/>
      <c r="AD49" s="535">
        <f>CCBASE!$I$36*2</f>
        <v>191.630124</v>
      </c>
      <c r="AJ49" s="541"/>
    </row>
    <row r="50" spans="1:36" x14ac:dyDescent="0.2">
      <c r="A50" s="533" t="s">
        <v>1075</v>
      </c>
      <c r="B50" s="533">
        <v>1750</v>
      </c>
      <c r="C50" s="533">
        <v>1000</v>
      </c>
      <c r="D50" s="533" t="str">
        <f t="shared" si="2"/>
        <v>UVI17501000</v>
      </c>
      <c r="E50" s="907">
        <f t="shared" si="1"/>
        <v>1777.7232588499999</v>
      </c>
      <c r="F50" s="534">
        <v>19</v>
      </c>
      <c r="G50" s="535">
        <f>F50*CCBASE!$B$51</f>
        <v>684</v>
      </c>
      <c r="H50" s="535">
        <f>CCBASE!$I$11*B50/1000</f>
        <v>281.73768385</v>
      </c>
      <c r="I50" s="535"/>
      <c r="J50" s="535"/>
      <c r="K50" s="535"/>
      <c r="L50" s="535">
        <f>CCBASE!$I$14*B50/1000</f>
        <v>366.40389449999998</v>
      </c>
      <c r="M50" s="535"/>
      <c r="N50" s="535"/>
      <c r="O50" s="535">
        <f>CCBASE!$I$45*B50/1000</f>
        <v>17.447500000000002</v>
      </c>
      <c r="P50" s="535">
        <f>CCBASE!$I$9</f>
        <v>39.7111223</v>
      </c>
      <c r="Q50" s="535">
        <f>CCBASE!$H$51</f>
        <v>5.16</v>
      </c>
      <c r="R50" s="535">
        <f>CCBASE!$I$4</f>
        <v>8.3986041999999994</v>
      </c>
      <c r="S50" s="535">
        <f>CCBASE!$I$8</f>
        <v>16.25526</v>
      </c>
      <c r="T50" s="535">
        <f>CCBASE!$I$44</f>
        <v>94.69</v>
      </c>
      <c r="U50" s="535"/>
      <c r="V50" s="535"/>
      <c r="W50" s="535">
        <f>CCBASE!$I$40*B50/1000</f>
        <v>72.289069999999995</v>
      </c>
      <c r="X50" s="535"/>
      <c r="Y50" s="535"/>
      <c r="Z50" s="535"/>
      <c r="AA50" s="535"/>
      <c r="AB50" s="535"/>
      <c r="AC50" s="535"/>
      <c r="AD50" s="535">
        <f>CCBASE!$I$36*2</f>
        <v>191.630124</v>
      </c>
    </row>
    <row r="51" spans="1:36" x14ac:dyDescent="0.2">
      <c r="A51" s="533" t="s">
        <v>1075</v>
      </c>
      <c r="B51" s="533">
        <v>2000</v>
      </c>
      <c r="C51" s="533">
        <v>1000</v>
      </c>
      <c r="D51" s="533" t="str">
        <f t="shared" si="2"/>
        <v>UVI20001000</v>
      </c>
      <c r="E51" s="907">
        <f t="shared" si="1"/>
        <v>1883.1344228999999</v>
      </c>
      <c r="F51" s="534">
        <v>19</v>
      </c>
      <c r="G51" s="535">
        <f>F51*CCBASE!$B$51</f>
        <v>684</v>
      </c>
      <c r="H51" s="535">
        <f>CCBASE!$I$11*B51/1000</f>
        <v>321.98592439999999</v>
      </c>
      <c r="I51" s="535"/>
      <c r="J51" s="535"/>
      <c r="K51" s="535"/>
      <c r="L51" s="535">
        <f>CCBASE!$I$14*B51/1000</f>
        <v>418.74730799999998</v>
      </c>
      <c r="M51" s="535"/>
      <c r="N51" s="535"/>
      <c r="O51" s="535">
        <f>CCBASE!$I$45*B51/1000</f>
        <v>19.940000000000001</v>
      </c>
      <c r="P51" s="535">
        <f>CCBASE!$I$9</f>
        <v>39.7111223</v>
      </c>
      <c r="Q51" s="535">
        <f>CCBASE!$H$51</f>
        <v>5.16</v>
      </c>
      <c r="R51" s="535">
        <f>CCBASE!$I$4</f>
        <v>8.3986041999999994</v>
      </c>
      <c r="S51" s="535">
        <f>CCBASE!$I$8</f>
        <v>16.25526</v>
      </c>
      <c r="T51" s="535">
        <f>CCBASE!$I$44</f>
        <v>94.69</v>
      </c>
      <c r="U51" s="535"/>
      <c r="V51" s="535"/>
      <c r="W51" s="535">
        <f>CCBASE!$I$40*B51/1000</f>
        <v>82.616079999999997</v>
      </c>
      <c r="X51" s="535"/>
      <c r="Y51" s="535"/>
      <c r="Z51" s="535"/>
      <c r="AA51" s="535"/>
      <c r="AB51" s="535"/>
      <c r="AC51" s="535"/>
      <c r="AD51" s="535">
        <f>CCBASE!$I$36*2</f>
        <v>191.630124</v>
      </c>
    </row>
    <row r="52" spans="1:36" x14ac:dyDescent="0.2">
      <c r="A52" s="533" t="s">
        <v>1075</v>
      </c>
      <c r="B52" s="533">
        <v>2250</v>
      </c>
      <c r="C52" s="533">
        <v>1000</v>
      </c>
      <c r="D52" s="533" t="str">
        <f t="shared" si="2"/>
        <v>UVI22501000</v>
      </c>
      <c r="E52" s="907">
        <f t="shared" si="1"/>
        <v>2168.5455869499997</v>
      </c>
      <c r="F52" s="534">
        <v>24</v>
      </c>
      <c r="G52" s="535">
        <f>F52*CCBASE!$B$51</f>
        <v>864</v>
      </c>
      <c r="H52" s="535">
        <f>CCBASE!$I$11*B52/1000</f>
        <v>362.23416494999998</v>
      </c>
      <c r="I52" s="535"/>
      <c r="J52" s="535"/>
      <c r="K52" s="535"/>
      <c r="L52" s="535">
        <f>CCBASE!$I$14*B52/1000</f>
        <v>471.09072149999997</v>
      </c>
      <c r="M52" s="535"/>
      <c r="N52" s="535"/>
      <c r="O52" s="535">
        <f>CCBASE!$I$45*B52/1000</f>
        <v>22.432500000000001</v>
      </c>
      <c r="P52" s="535">
        <f>CCBASE!$I$9</f>
        <v>39.7111223</v>
      </c>
      <c r="Q52" s="535">
        <f>CCBASE!$H$51</f>
        <v>5.16</v>
      </c>
      <c r="R52" s="535">
        <f>CCBASE!$I$4</f>
        <v>8.3986041999999994</v>
      </c>
      <c r="S52" s="535">
        <f>CCBASE!$I$8</f>
        <v>16.25526</v>
      </c>
      <c r="T52" s="535">
        <f>CCBASE!$I$44</f>
        <v>94.69</v>
      </c>
      <c r="U52" s="535"/>
      <c r="V52" s="535"/>
      <c r="W52" s="535">
        <f>CCBASE!$I$40*B52/1000</f>
        <v>92.943089999999998</v>
      </c>
      <c r="X52" s="535"/>
      <c r="Y52" s="535"/>
      <c r="Z52" s="535"/>
      <c r="AA52" s="535"/>
      <c r="AB52" s="535"/>
      <c r="AC52" s="535"/>
      <c r="AD52" s="535">
        <f>CCBASE!$I$36*2</f>
        <v>191.630124</v>
      </c>
    </row>
    <row r="53" spans="1:36" x14ac:dyDescent="0.2">
      <c r="A53" s="533" t="s">
        <v>1075</v>
      </c>
      <c r="B53" s="533">
        <v>2500</v>
      </c>
      <c r="C53" s="533">
        <v>1000</v>
      </c>
      <c r="D53" s="533" t="str">
        <f t="shared" si="2"/>
        <v>UVI25001000</v>
      </c>
      <c r="E53" s="907">
        <f t="shared" si="1"/>
        <v>2273.9567509999997</v>
      </c>
      <c r="F53" s="534">
        <v>24</v>
      </c>
      <c r="G53" s="535">
        <f>F53*CCBASE!$B$51</f>
        <v>864</v>
      </c>
      <c r="H53" s="535">
        <f>CCBASE!$I$11*B53/1000</f>
        <v>402.48240549999997</v>
      </c>
      <c r="I53" s="535"/>
      <c r="J53" s="535"/>
      <c r="K53" s="535"/>
      <c r="L53" s="535">
        <f>CCBASE!$I$14*B53/1000</f>
        <v>523.43413499999997</v>
      </c>
      <c r="M53" s="535"/>
      <c r="N53" s="535"/>
      <c r="O53" s="535">
        <f>CCBASE!$I$45*B53/1000</f>
        <v>24.925000000000001</v>
      </c>
      <c r="P53" s="535">
        <f>CCBASE!$I$9</f>
        <v>39.7111223</v>
      </c>
      <c r="Q53" s="535">
        <f>CCBASE!$H$51</f>
        <v>5.16</v>
      </c>
      <c r="R53" s="535">
        <f>CCBASE!$I$4</f>
        <v>8.3986041999999994</v>
      </c>
      <c r="S53" s="535">
        <f>CCBASE!$I$8</f>
        <v>16.25526</v>
      </c>
      <c r="T53" s="535">
        <f>CCBASE!$I$44</f>
        <v>94.69</v>
      </c>
      <c r="U53" s="535"/>
      <c r="V53" s="535"/>
      <c r="W53" s="535">
        <f>CCBASE!$I$40*B53/1000</f>
        <v>103.27009999999999</v>
      </c>
      <c r="X53" s="535"/>
      <c r="Y53" s="535"/>
      <c r="Z53" s="535"/>
      <c r="AA53" s="535"/>
      <c r="AB53" s="535"/>
      <c r="AC53" s="535"/>
      <c r="AD53" s="535">
        <f>CCBASE!$I$36*2</f>
        <v>191.630124</v>
      </c>
    </row>
    <row r="54" spans="1:36" x14ac:dyDescent="0.2">
      <c r="A54" s="533" t="s">
        <v>1075</v>
      </c>
      <c r="B54" s="533">
        <v>2750</v>
      </c>
      <c r="C54" s="533">
        <v>1000</v>
      </c>
      <c r="D54" s="533" t="str">
        <f t="shared" si="2"/>
        <v>UVI27501000</v>
      </c>
      <c r="E54" s="907">
        <f t="shared" si="1"/>
        <v>2379.3679150499997</v>
      </c>
      <c r="F54" s="534">
        <v>24</v>
      </c>
      <c r="G54" s="535">
        <f>F54*CCBASE!$B$51</f>
        <v>864</v>
      </c>
      <c r="H54" s="535">
        <f>CCBASE!$I$11*B54/1000</f>
        <v>442.73064604999996</v>
      </c>
      <c r="I54" s="535"/>
      <c r="J54" s="535"/>
      <c r="K54" s="535"/>
      <c r="L54" s="535">
        <f>CCBASE!$I$14*B54/1000</f>
        <v>575.77754849999997</v>
      </c>
      <c r="M54" s="535"/>
      <c r="N54" s="535"/>
      <c r="O54" s="535">
        <f>CCBASE!$I$45*B54/1000</f>
        <v>27.4175</v>
      </c>
      <c r="P54" s="535">
        <f>CCBASE!$I$9</f>
        <v>39.7111223</v>
      </c>
      <c r="Q54" s="535">
        <f>CCBASE!$H$51</f>
        <v>5.16</v>
      </c>
      <c r="R54" s="535">
        <f>CCBASE!$I$4</f>
        <v>8.3986041999999994</v>
      </c>
      <c r="S54" s="535">
        <f>CCBASE!$I$8</f>
        <v>16.25526</v>
      </c>
      <c r="T54" s="535">
        <f>CCBASE!$I$44</f>
        <v>94.69</v>
      </c>
      <c r="U54" s="535"/>
      <c r="V54" s="535"/>
      <c r="W54" s="535">
        <f>CCBASE!$I$40*B54/1000</f>
        <v>113.59711</v>
      </c>
      <c r="X54" s="535"/>
      <c r="Y54" s="535"/>
      <c r="Z54" s="535"/>
      <c r="AA54" s="535"/>
      <c r="AB54" s="535"/>
      <c r="AC54" s="535"/>
      <c r="AD54" s="535">
        <f>CCBASE!$I$36*2</f>
        <v>191.630124</v>
      </c>
    </row>
    <row r="55" spans="1:36" x14ac:dyDescent="0.2">
      <c r="A55" s="533" t="s">
        <v>1075</v>
      </c>
      <c r="B55" s="533">
        <v>3000</v>
      </c>
      <c r="C55" s="533">
        <v>1000</v>
      </c>
      <c r="D55" s="533" t="str">
        <f t="shared" si="2"/>
        <v>UVI30001000</v>
      </c>
      <c r="E55" s="907">
        <f t="shared" si="1"/>
        <v>2484.7790790999998</v>
      </c>
      <c r="F55" s="534">
        <v>24</v>
      </c>
      <c r="G55" s="535">
        <f>F55*CCBASE!$B$51</f>
        <v>864</v>
      </c>
      <c r="H55" s="535">
        <f>CCBASE!$I$11*B55/1000</f>
        <v>482.97888659999995</v>
      </c>
      <c r="I55" s="535"/>
      <c r="J55" s="535"/>
      <c r="K55" s="535"/>
      <c r="L55" s="535">
        <f>CCBASE!$I$14*B55/1000</f>
        <v>628.12096199999996</v>
      </c>
      <c r="M55" s="535"/>
      <c r="N55" s="535"/>
      <c r="O55" s="535">
        <f>CCBASE!$I$45*B55/1000</f>
        <v>29.910000000000004</v>
      </c>
      <c r="P55" s="535">
        <f>CCBASE!$I$9</f>
        <v>39.7111223</v>
      </c>
      <c r="Q55" s="535">
        <f>CCBASE!$H$51</f>
        <v>5.16</v>
      </c>
      <c r="R55" s="535">
        <f>CCBASE!$I$4</f>
        <v>8.3986041999999994</v>
      </c>
      <c r="S55" s="535">
        <f>CCBASE!$I$8</f>
        <v>16.25526</v>
      </c>
      <c r="T55" s="535">
        <f>CCBASE!$I$44</f>
        <v>94.69</v>
      </c>
      <c r="U55" s="535"/>
      <c r="V55" s="535"/>
      <c r="W55" s="535">
        <f>CCBASE!$I$40*B55/1000</f>
        <v>123.92412</v>
      </c>
      <c r="X55" s="535"/>
      <c r="Y55" s="535"/>
      <c r="Z55" s="535"/>
      <c r="AA55" s="535"/>
      <c r="AB55" s="535"/>
      <c r="AC55" s="535"/>
      <c r="AD55" s="535">
        <f>CCBASE!$I$36*2</f>
        <v>191.630124</v>
      </c>
    </row>
    <row r="56" spans="1:36" x14ac:dyDescent="0.2">
      <c r="A56" s="533" t="s">
        <v>1075</v>
      </c>
      <c r="B56" s="533">
        <v>1000</v>
      </c>
      <c r="C56" s="533">
        <v>1250</v>
      </c>
      <c r="D56" s="533" t="str">
        <f t="shared" si="2"/>
        <v>UVI10001250</v>
      </c>
      <c r="E56" s="907">
        <f t="shared" si="1"/>
        <v>1452.4405663999999</v>
      </c>
      <c r="F56" s="534">
        <v>19</v>
      </c>
      <c r="G56" s="535">
        <f>F56*CCBASE!$B$51</f>
        <v>684</v>
      </c>
      <c r="H56" s="535">
        <f>CCBASE!$I$11*B56/1000</f>
        <v>160.99296219999999</v>
      </c>
      <c r="I56" s="535"/>
      <c r="J56" s="535"/>
      <c r="K56" s="535"/>
      <c r="L56" s="535">
        <f>CCBASE!$I$14*B56/1000</f>
        <v>209.37365399999999</v>
      </c>
      <c r="M56" s="535"/>
      <c r="N56" s="535"/>
      <c r="O56" s="535">
        <f>CCBASE!$I$45*B56/1000</f>
        <v>9.9700000000000006</v>
      </c>
      <c r="P56" s="535">
        <f>CCBASE!$I$10</f>
        <v>30.661922000000001</v>
      </c>
      <c r="Q56" s="535">
        <f>CCBASE!$H$51</f>
        <v>5.16</v>
      </c>
      <c r="R56" s="535">
        <f>CCBASE!$I$4</f>
        <v>8.3986041999999994</v>
      </c>
      <c r="S56" s="535">
        <f>CCBASE!$I$8</f>
        <v>16.25526</v>
      </c>
      <c r="T56" s="535">
        <f>CCBASE!$I$44</f>
        <v>94.69</v>
      </c>
      <c r="U56" s="535"/>
      <c r="V56" s="535"/>
      <c r="W56" s="535">
        <f>CCBASE!$I$40*B56/1000</f>
        <v>41.308039999999998</v>
      </c>
      <c r="X56" s="535"/>
      <c r="Y56" s="535"/>
      <c r="Z56" s="535"/>
      <c r="AA56" s="535"/>
      <c r="AB56" s="535"/>
      <c r="AC56" s="535"/>
      <c r="AD56" s="535">
        <f>CCBASE!$I$36*2</f>
        <v>191.630124</v>
      </c>
    </row>
    <row r="57" spans="1:36" x14ac:dyDescent="0.2">
      <c r="A57" s="533" t="s">
        <v>1075</v>
      </c>
      <c r="B57" s="533">
        <v>1250</v>
      </c>
      <c r="C57" s="533">
        <v>1250</v>
      </c>
      <c r="D57" s="533" t="str">
        <f t="shared" si="2"/>
        <v>UVI12501250</v>
      </c>
      <c r="E57" s="907">
        <f t="shared" si="1"/>
        <v>1557.8517304500001</v>
      </c>
      <c r="F57" s="534">
        <v>19</v>
      </c>
      <c r="G57" s="535">
        <f>F57*CCBASE!$B$51</f>
        <v>684</v>
      </c>
      <c r="H57" s="535">
        <f>CCBASE!$I$11*B57/1000</f>
        <v>201.24120274999999</v>
      </c>
      <c r="I57" s="535"/>
      <c r="J57" s="535"/>
      <c r="K57" s="535"/>
      <c r="L57" s="535">
        <f>CCBASE!$I$14*B57/1000</f>
        <v>261.71706749999998</v>
      </c>
      <c r="M57" s="535"/>
      <c r="N57" s="535"/>
      <c r="O57" s="535">
        <f>CCBASE!$I$45*B57/1000</f>
        <v>12.4625</v>
      </c>
      <c r="P57" s="535">
        <f>CCBASE!$I$10</f>
        <v>30.661922000000001</v>
      </c>
      <c r="Q57" s="535">
        <f>CCBASE!$H$51</f>
        <v>5.16</v>
      </c>
      <c r="R57" s="535">
        <f>CCBASE!$I$4</f>
        <v>8.3986041999999994</v>
      </c>
      <c r="S57" s="535">
        <f>CCBASE!$I$8</f>
        <v>16.25526</v>
      </c>
      <c r="T57" s="535">
        <f>CCBASE!$I$44</f>
        <v>94.69</v>
      </c>
      <c r="U57" s="535"/>
      <c r="V57" s="535"/>
      <c r="W57" s="535">
        <f>CCBASE!$I$40*B57/1000</f>
        <v>51.635049999999993</v>
      </c>
      <c r="X57" s="535"/>
      <c r="Y57" s="535"/>
      <c r="Z57" s="535"/>
      <c r="AA57" s="535"/>
      <c r="AB57" s="535"/>
      <c r="AC57" s="535"/>
      <c r="AD57" s="535">
        <f>CCBASE!$I$36*2</f>
        <v>191.630124</v>
      </c>
    </row>
    <row r="58" spans="1:36" x14ac:dyDescent="0.2">
      <c r="A58" s="533" t="s">
        <v>1075</v>
      </c>
      <c r="B58" s="533">
        <v>1500</v>
      </c>
      <c r="C58" s="533">
        <v>1250</v>
      </c>
      <c r="D58" s="533" t="str">
        <f t="shared" si="2"/>
        <v>UVI15001250</v>
      </c>
      <c r="E58" s="907">
        <f t="shared" si="1"/>
        <v>1663.2628944999999</v>
      </c>
      <c r="F58" s="534">
        <v>19</v>
      </c>
      <c r="G58" s="535">
        <f>F58*CCBASE!$B$51</f>
        <v>684</v>
      </c>
      <c r="H58" s="535">
        <f>CCBASE!$I$11*B58/1000</f>
        <v>241.48944329999998</v>
      </c>
      <c r="I58" s="535"/>
      <c r="J58" s="535"/>
      <c r="K58" s="535"/>
      <c r="L58" s="535">
        <f>CCBASE!$I$14*B58/1000</f>
        <v>314.06048099999998</v>
      </c>
      <c r="M58" s="535"/>
      <c r="N58" s="535"/>
      <c r="O58" s="535">
        <f>CCBASE!$I$45*B58/1000</f>
        <v>14.955000000000002</v>
      </c>
      <c r="P58" s="535">
        <f>CCBASE!$I$10</f>
        <v>30.661922000000001</v>
      </c>
      <c r="Q58" s="535">
        <f>CCBASE!$H$51</f>
        <v>5.16</v>
      </c>
      <c r="R58" s="535">
        <f>CCBASE!$I$4</f>
        <v>8.3986041999999994</v>
      </c>
      <c r="S58" s="535">
        <f>CCBASE!$I$8</f>
        <v>16.25526</v>
      </c>
      <c r="T58" s="535">
        <f>CCBASE!$I$44</f>
        <v>94.69</v>
      </c>
      <c r="U58" s="535"/>
      <c r="V58" s="535"/>
      <c r="W58" s="535">
        <f>CCBASE!$I$40*B58/1000</f>
        <v>61.962060000000001</v>
      </c>
      <c r="X58" s="535"/>
      <c r="Y58" s="535"/>
      <c r="Z58" s="535"/>
      <c r="AA58" s="535"/>
      <c r="AB58" s="535"/>
      <c r="AC58" s="535"/>
      <c r="AD58" s="535">
        <f>CCBASE!$I$36*2</f>
        <v>191.630124</v>
      </c>
    </row>
    <row r="59" spans="1:36" x14ac:dyDescent="0.2">
      <c r="A59" s="533" t="s">
        <v>1075</v>
      </c>
      <c r="B59" s="533">
        <v>1750</v>
      </c>
      <c r="C59" s="533">
        <v>1250</v>
      </c>
      <c r="D59" s="533" t="str">
        <f t="shared" si="2"/>
        <v>UVI17501250</v>
      </c>
      <c r="E59" s="907">
        <f t="shared" si="1"/>
        <v>1777.7232588499999</v>
      </c>
      <c r="F59" s="534">
        <v>19</v>
      </c>
      <c r="G59" s="535">
        <f>F59*CCBASE!$B$51</f>
        <v>684</v>
      </c>
      <c r="H59" s="535">
        <f>CCBASE!$I$11*B59/1000</f>
        <v>281.73768385</v>
      </c>
      <c r="I59" s="535"/>
      <c r="J59" s="535"/>
      <c r="K59" s="535"/>
      <c r="L59" s="535">
        <f>CCBASE!$I$14*B59/1000</f>
        <v>366.40389449999998</v>
      </c>
      <c r="M59" s="535"/>
      <c r="N59" s="535"/>
      <c r="O59" s="535">
        <f>CCBASE!$I$45*B59/1000</f>
        <v>17.447500000000002</v>
      </c>
      <c r="P59" s="535">
        <f>CCBASE!$I$9</f>
        <v>39.7111223</v>
      </c>
      <c r="Q59" s="535">
        <f>CCBASE!$H$51</f>
        <v>5.16</v>
      </c>
      <c r="R59" s="535">
        <f>CCBASE!$I$4</f>
        <v>8.3986041999999994</v>
      </c>
      <c r="S59" s="535">
        <f>CCBASE!$I$8</f>
        <v>16.25526</v>
      </c>
      <c r="T59" s="535">
        <f>CCBASE!$I$44</f>
        <v>94.69</v>
      </c>
      <c r="U59" s="535"/>
      <c r="V59" s="535"/>
      <c r="W59" s="535">
        <f>CCBASE!$I$40*B59/1000</f>
        <v>72.289069999999995</v>
      </c>
      <c r="X59" s="535"/>
      <c r="Y59" s="535"/>
      <c r="Z59" s="535"/>
      <c r="AA59" s="535"/>
      <c r="AB59" s="535"/>
      <c r="AC59" s="535"/>
      <c r="AD59" s="535">
        <f>CCBASE!$I$36*2</f>
        <v>191.630124</v>
      </c>
    </row>
    <row r="60" spans="1:36" x14ac:dyDescent="0.2">
      <c r="A60" s="533" t="s">
        <v>1075</v>
      </c>
      <c r="B60" s="533">
        <v>2000</v>
      </c>
      <c r="C60" s="533">
        <v>1250</v>
      </c>
      <c r="D60" s="533" t="str">
        <f t="shared" si="2"/>
        <v>UVI20001250</v>
      </c>
      <c r="E60" s="907">
        <f t="shared" si="1"/>
        <v>1883.1344228999999</v>
      </c>
      <c r="F60" s="534">
        <v>19</v>
      </c>
      <c r="G60" s="535">
        <f>F60*CCBASE!$B$51</f>
        <v>684</v>
      </c>
      <c r="H60" s="535">
        <f>CCBASE!$I$11*B60/1000</f>
        <v>321.98592439999999</v>
      </c>
      <c r="I60" s="535"/>
      <c r="J60" s="535"/>
      <c r="K60" s="535"/>
      <c r="L60" s="535">
        <f>CCBASE!$I$14*B60/1000</f>
        <v>418.74730799999998</v>
      </c>
      <c r="M60" s="535"/>
      <c r="N60" s="535"/>
      <c r="O60" s="535">
        <f>CCBASE!$I$45*B60/1000</f>
        <v>19.940000000000001</v>
      </c>
      <c r="P60" s="535">
        <f>CCBASE!$I$9</f>
        <v>39.7111223</v>
      </c>
      <c r="Q60" s="535">
        <f>CCBASE!$H$51</f>
        <v>5.16</v>
      </c>
      <c r="R60" s="535">
        <f>CCBASE!$I$4</f>
        <v>8.3986041999999994</v>
      </c>
      <c r="S60" s="535">
        <f>CCBASE!$I$8</f>
        <v>16.25526</v>
      </c>
      <c r="T60" s="535">
        <f>CCBASE!$I$44</f>
        <v>94.69</v>
      </c>
      <c r="U60" s="535"/>
      <c r="V60" s="535"/>
      <c r="W60" s="535">
        <f>CCBASE!$I$40*B60/1000</f>
        <v>82.616079999999997</v>
      </c>
      <c r="X60" s="535"/>
      <c r="Y60" s="535"/>
      <c r="Z60" s="535"/>
      <c r="AA60" s="535"/>
      <c r="AB60" s="535"/>
      <c r="AC60" s="535"/>
      <c r="AD60" s="535">
        <f>CCBASE!$I$36*2</f>
        <v>191.630124</v>
      </c>
    </row>
    <row r="61" spans="1:36" x14ac:dyDescent="0.2">
      <c r="A61" s="533" t="s">
        <v>1075</v>
      </c>
      <c r="B61" s="533">
        <v>2250</v>
      </c>
      <c r="C61" s="533">
        <v>1250</v>
      </c>
      <c r="D61" s="533" t="str">
        <f t="shared" si="2"/>
        <v>UVI22501250</v>
      </c>
      <c r="E61" s="907">
        <f t="shared" si="1"/>
        <v>2168.5455869499997</v>
      </c>
      <c r="F61" s="534">
        <v>24</v>
      </c>
      <c r="G61" s="535">
        <f>F61*CCBASE!$B$51</f>
        <v>864</v>
      </c>
      <c r="H61" s="535">
        <f>CCBASE!$I$11*B61/1000</f>
        <v>362.23416494999998</v>
      </c>
      <c r="I61" s="535"/>
      <c r="J61" s="535"/>
      <c r="K61" s="535"/>
      <c r="L61" s="535">
        <f>CCBASE!$I$14*B61/1000</f>
        <v>471.09072149999997</v>
      </c>
      <c r="M61" s="535"/>
      <c r="N61" s="535"/>
      <c r="O61" s="535">
        <f>CCBASE!$I$45*B61/1000</f>
        <v>22.432500000000001</v>
      </c>
      <c r="P61" s="535">
        <f>CCBASE!$I$9</f>
        <v>39.7111223</v>
      </c>
      <c r="Q61" s="535">
        <f>CCBASE!$H$51</f>
        <v>5.16</v>
      </c>
      <c r="R61" s="535">
        <f>CCBASE!$I$4</f>
        <v>8.3986041999999994</v>
      </c>
      <c r="S61" s="535">
        <f>CCBASE!$I$8</f>
        <v>16.25526</v>
      </c>
      <c r="T61" s="535">
        <f>CCBASE!$I$44</f>
        <v>94.69</v>
      </c>
      <c r="U61" s="535"/>
      <c r="V61" s="535"/>
      <c r="W61" s="535">
        <f>CCBASE!$I$40*B61/1000</f>
        <v>92.943089999999998</v>
      </c>
      <c r="X61" s="535"/>
      <c r="Y61" s="535"/>
      <c r="Z61" s="535"/>
      <c r="AA61" s="535"/>
      <c r="AB61" s="535"/>
      <c r="AC61" s="535"/>
      <c r="AD61" s="535">
        <f>CCBASE!$I$36*2</f>
        <v>191.630124</v>
      </c>
    </row>
    <row r="62" spans="1:36" x14ac:dyDescent="0.2">
      <c r="A62" s="533" t="s">
        <v>1075</v>
      </c>
      <c r="B62" s="533">
        <v>2500</v>
      </c>
      <c r="C62" s="533">
        <v>1250</v>
      </c>
      <c r="D62" s="533" t="str">
        <f t="shared" si="2"/>
        <v>UVI25001250</v>
      </c>
      <c r="E62" s="907">
        <f t="shared" si="1"/>
        <v>2273.9567509999997</v>
      </c>
      <c r="F62" s="534">
        <v>24</v>
      </c>
      <c r="G62" s="535">
        <f>F62*CCBASE!$B$51</f>
        <v>864</v>
      </c>
      <c r="H62" s="535">
        <f>CCBASE!$I$11*B62/1000</f>
        <v>402.48240549999997</v>
      </c>
      <c r="I62" s="535"/>
      <c r="J62" s="535"/>
      <c r="K62" s="535"/>
      <c r="L62" s="535">
        <f>CCBASE!$I$14*B62/1000</f>
        <v>523.43413499999997</v>
      </c>
      <c r="M62" s="535"/>
      <c r="N62" s="535"/>
      <c r="O62" s="535">
        <f>CCBASE!$I$45*B62/1000</f>
        <v>24.925000000000001</v>
      </c>
      <c r="P62" s="535">
        <f>CCBASE!$I$9</f>
        <v>39.7111223</v>
      </c>
      <c r="Q62" s="535">
        <f>CCBASE!$H$51</f>
        <v>5.16</v>
      </c>
      <c r="R62" s="535">
        <f>CCBASE!$I$4</f>
        <v>8.3986041999999994</v>
      </c>
      <c r="S62" s="535">
        <f>CCBASE!$I$8</f>
        <v>16.25526</v>
      </c>
      <c r="T62" s="535">
        <f>CCBASE!$I$44</f>
        <v>94.69</v>
      </c>
      <c r="U62" s="535"/>
      <c r="V62" s="535"/>
      <c r="W62" s="535">
        <f>CCBASE!$I$40*B62/1000</f>
        <v>103.27009999999999</v>
      </c>
      <c r="X62" s="535"/>
      <c r="Y62" s="535"/>
      <c r="Z62" s="535"/>
      <c r="AA62" s="535"/>
      <c r="AB62" s="535"/>
      <c r="AC62" s="535"/>
      <c r="AD62" s="535">
        <f>CCBASE!$I$36*2</f>
        <v>191.630124</v>
      </c>
    </row>
    <row r="63" spans="1:36" x14ac:dyDescent="0.2">
      <c r="A63" s="533" t="s">
        <v>1075</v>
      </c>
      <c r="B63" s="533">
        <v>2750</v>
      </c>
      <c r="C63" s="533">
        <v>1250</v>
      </c>
      <c r="D63" s="533" t="str">
        <f t="shared" si="2"/>
        <v>UVI27501250</v>
      </c>
      <c r="E63" s="907">
        <f t="shared" si="1"/>
        <v>2379.3679150499997</v>
      </c>
      <c r="F63" s="534">
        <v>24</v>
      </c>
      <c r="G63" s="535">
        <f>F63*CCBASE!$B$51</f>
        <v>864</v>
      </c>
      <c r="H63" s="535">
        <f>CCBASE!$I$11*B63/1000</f>
        <v>442.73064604999996</v>
      </c>
      <c r="I63" s="535"/>
      <c r="J63" s="535"/>
      <c r="K63" s="535"/>
      <c r="L63" s="535">
        <f>CCBASE!$I$14*B63/1000</f>
        <v>575.77754849999997</v>
      </c>
      <c r="M63" s="535"/>
      <c r="N63" s="535"/>
      <c r="O63" s="535">
        <f>CCBASE!$I$45*B63/1000</f>
        <v>27.4175</v>
      </c>
      <c r="P63" s="535">
        <f>CCBASE!$I$9</f>
        <v>39.7111223</v>
      </c>
      <c r="Q63" s="535">
        <f>CCBASE!$H$51</f>
        <v>5.16</v>
      </c>
      <c r="R63" s="535">
        <f>CCBASE!$I$4</f>
        <v>8.3986041999999994</v>
      </c>
      <c r="S63" s="535">
        <f>CCBASE!$I$8</f>
        <v>16.25526</v>
      </c>
      <c r="T63" s="535">
        <f>CCBASE!$I$44</f>
        <v>94.69</v>
      </c>
      <c r="U63" s="535"/>
      <c r="V63" s="535"/>
      <c r="W63" s="535">
        <f>CCBASE!$I$40*B63/1000</f>
        <v>113.59711</v>
      </c>
      <c r="X63" s="535"/>
      <c r="Y63" s="535"/>
      <c r="Z63" s="535"/>
      <c r="AA63" s="535"/>
      <c r="AB63" s="535"/>
      <c r="AC63" s="535"/>
      <c r="AD63" s="535">
        <f>CCBASE!$I$36*2</f>
        <v>191.630124</v>
      </c>
    </row>
    <row r="64" spans="1:36" x14ac:dyDescent="0.2">
      <c r="A64" s="533" t="s">
        <v>1075</v>
      </c>
      <c r="B64" s="533">
        <v>3000</v>
      </c>
      <c r="C64" s="533">
        <v>1250</v>
      </c>
      <c r="D64" s="533" t="str">
        <f t="shared" si="2"/>
        <v>UVI30001250</v>
      </c>
      <c r="E64" s="907">
        <f t="shared" si="1"/>
        <v>2484.7790790999998</v>
      </c>
      <c r="F64" s="534">
        <v>24</v>
      </c>
      <c r="G64" s="535">
        <f>F64*CCBASE!$B$51</f>
        <v>864</v>
      </c>
      <c r="H64" s="535">
        <f>CCBASE!$I$11*B64/1000</f>
        <v>482.97888659999995</v>
      </c>
      <c r="I64" s="535"/>
      <c r="J64" s="535"/>
      <c r="K64" s="535"/>
      <c r="L64" s="535">
        <f>CCBASE!$I$14*B64/1000</f>
        <v>628.12096199999996</v>
      </c>
      <c r="M64" s="535"/>
      <c r="N64" s="535"/>
      <c r="O64" s="535">
        <f>CCBASE!$I$45*B64/1000</f>
        <v>29.910000000000004</v>
      </c>
      <c r="P64" s="535">
        <f>CCBASE!$I$9</f>
        <v>39.7111223</v>
      </c>
      <c r="Q64" s="535">
        <f>CCBASE!$H$51</f>
        <v>5.16</v>
      </c>
      <c r="R64" s="535">
        <f>CCBASE!$I$4</f>
        <v>8.3986041999999994</v>
      </c>
      <c r="S64" s="535">
        <f>CCBASE!$I$8</f>
        <v>16.25526</v>
      </c>
      <c r="T64" s="535">
        <f>CCBASE!$I$44</f>
        <v>94.69</v>
      </c>
      <c r="U64" s="535"/>
      <c r="V64" s="535"/>
      <c r="W64" s="535">
        <f>CCBASE!$I$40*B64/1000</f>
        <v>123.92412</v>
      </c>
      <c r="X64" s="535"/>
      <c r="Y64" s="535"/>
      <c r="Z64" s="535"/>
      <c r="AA64" s="535"/>
      <c r="AB64" s="535"/>
      <c r="AC64" s="535"/>
      <c r="AD64" s="535">
        <f>CCBASE!$I$36*2</f>
        <v>191.630124</v>
      </c>
    </row>
    <row r="65" spans="1:30" x14ac:dyDescent="0.2">
      <c r="A65" s="533" t="s">
        <v>1075</v>
      </c>
      <c r="B65" s="533">
        <v>1000</v>
      </c>
      <c r="C65" s="533">
        <v>1500</v>
      </c>
      <c r="D65" s="533" t="str">
        <f t="shared" si="2"/>
        <v>UVI10001500</v>
      </c>
      <c r="E65" s="907">
        <f t="shared" si="1"/>
        <v>1518.6830783999999</v>
      </c>
      <c r="F65" s="534">
        <v>19</v>
      </c>
      <c r="G65" s="535">
        <f>F65*CCBASE!$B$51</f>
        <v>684</v>
      </c>
      <c r="H65" s="535">
        <f>CCBASE!$I$11*B65/1000</f>
        <v>160.99296219999999</v>
      </c>
      <c r="I65" s="535"/>
      <c r="J65" s="535"/>
      <c r="K65" s="535"/>
      <c r="L65" s="535">
        <f>CCBASE!$I$14*B65/1000</f>
        <v>209.37365399999999</v>
      </c>
      <c r="M65" s="535"/>
      <c r="N65" s="535"/>
      <c r="O65" s="535">
        <f>CCBASE!$I$45*B65/1000</f>
        <v>9.9700000000000006</v>
      </c>
      <c r="P65" s="535">
        <f>CCBASE!$I$10</f>
        <v>30.661922000000001</v>
      </c>
      <c r="Q65" s="535">
        <f>CCBASE!$H$51</f>
        <v>5.16</v>
      </c>
      <c r="R65" s="535">
        <f>CCBASE!$I$4</f>
        <v>8.3986041999999994</v>
      </c>
      <c r="S65" s="535">
        <f>CCBASE!$I$8</f>
        <v>16.25526</v>
      </c>
      <c r="T65" s="535">
        <f>CCBASE!$I$44</f>
        <v>94.69</v>
      </c>
      <c r="U65" s="535"/>
      <c r="V65" s="535"/>
      <c r="W65" s="535">
        <f>CCBASE!$I$41*B65/1000</f>
        <v>59.051569999999998</v>
      </c>
      <c r="X65" s="535"/>
      <c r="Y65" s="535"/>
      <c r="Z65" s="535"/>
      <c r="AA65" s="535"/>
      <c r="AB65" s="535"/>
      <c r="AC65" s="535"/>
      <c r="AD65" s="535">
        <f>CCBASE!$I$37*2</f>
        <v>240.12910599999998</v>
      </c>
    </row>
    <row r="66" spans="1:30" x14ac:dyDescent="0.2">
      <c r="A66" s="533" t="s">
        <v>1075</v>
      </c>
      <c r="B66" s="533">
        <v>1250</v>
      </c>
      <c r="C66" s="533">
        <v>1500</v>
      </c>
      <c r="D66" s="533" t="str">
        <f t="shared" si="2"/>
        <v>UVI12501500</v>
      </c>
      <c r="E66" s="907">
        <f t="shared" ref="E66:E129" si="3">SUM(G66:AD66)</f>
        <v>1628.5301249499998</v>
      </c>
      <c r="F66" s="534">
        <v>19</v>
      </c>
      <c r="G66" s="535">
        <f>F66*CCBASE!$B$51</f>
        <v>684</v>
      </c>
      <c r="H66" s="535">
        <f>CCBASE!$I$11*B66/1000</f>
        <v>201.24120274999999</v>
      </c>
      <c r="I66" s="535"/>
      <c r="J66" s="535"/>
      <c r="K66" s="535"/>
      <c r="L66" s="535">
        <f>CCBASE!$I$14*B66/1000</f>
        <v>261.71706749999998</v>
      </c>
      <c r="M66" s="535"/>
      <c r="N66" s="535"/>
      <c r="O66" s="535">
        <f>CCBASE!$I$45*B66/1000</f>
        <v>12.4625</v>
      </c>
      <c r="P66" s="535">
        <f>CCBASE!$I$10</f>
        <v>30.661922000000001</v>
      </c>
      <c r="Q66" s="535">
        <f>CCBASE!$H$51</f>
        <v>5.16</v>
      </c>
      <c r="R66" s="535">
        <f>CCBASE!$I$4</f>
        <v>8.3986041999999994</v>
      </c>
      <c r="S66" s="535">
        <f>CCBASE!$I$8</f>
        <v>16.25526</v>
      </c>
      <c r="T66" s="535">
        <f>CCBASE!$I$44</f>
        <v>94.69</v>
      </c>
      <c r="U66" s="535"/>
      <c r="V66" s="535"/>
      <c r="W66" s="535">
        <f>CCBASE!$I$41*B66/1000</f>
        <v>73.814462499999991</v>
      </c>
      <c r="X66" s="535"/>
      <c r="Y66" s="535"/>
      <c r="Z66" s="535"/>
      <c r="AA66" s="535"/>
      <c r="AB66" s="535"/>
      <c r="AC66" s="535"/>
      <c r="AD66" s="535">
        <f>CCBASE!$I$37*2</f>
        <v>240.12910599999998</v>
      </c>
    </row>
    <row r="67" spans="1:30" x14ac:dyDescent="0.2">
      <c r="A67" s="533" t="s">
        <v>1075</v>
      </c>
      <c r="B67" s="533">
        <v>1500</v>
      </c>
      <c r="C67" s="533">
        <v>1500</v>
      </c>
      <c r="D67" s="533" t="str">
        <f t="shared" si="2"/>
        <v>UVI15001500</v>
      </c>
      <c r="E67" s="907">
        <f t="shared" si="3"/>
        <v>1747.4263717999997</v>
      </c>
      <c r="F67" s="534">
        <v>19</v>
      </c>
      <c r="G67" s="535">
        <f>F67*CCBASE!$B$51</f>
        <v>684</v>
      </c>
      <c r="H67" s="535">
        <f>CCBASE!$I$11*B67/1000</f>
        <v>241.48944329999998</v>
      </c>
      <c r="I67" s="535"/>
      <c r="J67" s="535"/>
      <c r="K67" s="535"/>
      <c r="L67" s="535">
        <f>CCBASE!$I$14*B67/1000</f>
        <v>314.06048099999998</v>
      </c>
      <c r="M67" s="535"/>
      <c r="N67" s="535"/>
      <c r="O67" s="535">
        <f>CCBASE!$I$45*B67/1000</f>
        <v>14.955000000000002</v>
      </c>
      <c r="P67" s="535">
        <f>CCBASE!$I$9</f>
        <v>39.7111223</v>
      </c>
      <c r="Q67" s="535">
        <f>CCBASE!$H$51</f>
        <v>5.16</v>
      </c>
      <c r="R67" s="535">
        <f>CCBASE!$I$4</f>
        <v>8.3986041999999994</v>
      </c>
      <c r="S67" s="535">
        <f>CCBASE!$I$8</f>
        <v>16.25526</v>
      </c>
      <c r="T67" s="535">
        <f>CCBASE!$I$44</f>
        <v>94.69</v>
      </c>
      <c r="U67" s="535"/>
      <c r="V67" s="535"/>
      <c r="W67" s="535">
        <f>CCBASE!$I$41*B67/1000</f>
        <v>88.577354999999997</v>
      </c>
      <c r="X67" s="535"/>
      <c r="Y67" s="535"/>
      <c r="Z67" s="535"/>
      <c r="AA67" s="535"/>
      <c r="AB67" s="535"/>
      <c r="AC67" s="535"/>
      <c r="AD67" s="535">
        <f>CCBASE!$I$37*2</f>
        <v>240.12910599999998</v>
      </c>
    </row>
    <row r="68" spans="1:30" x14ac:dyDescent="0.2">
      <c r="A68" s="533" t="s">
        <v>1075</v>
      </c>
      <c r="B68" s="533">
        <v>1750</v>
      </c>
      <c r="C68" s="533">
        <v>1500</v>
      </c>
      <c r="D68" s="533" t="str">
        <f t="shared" si="2"/>
        <v>UVI17501500</v>
      </c>
      <c r="E68" s="907">
        <f t="shared" si="3"/>
        <v>1848.2242180499998</v>
      </c>
      <c r="F68" s="534">
        <v>19</v>
      </c>
      <c r="G68" s="535">
        <f>F68*CCBASE!$B$51</f>
        <v>684</v>
      </c>
      <c r="H68" s="535">
        <f>CCBASE!$I$11*B68/1000</f>
        <v>281.73768385</v>
      </c>
      <c r="I68" s="535"/>
      <c r="J68" s="535"/>
      <c r="K68" s="535"/>
      <c r="L68" s="535">
        <f>CCBASE!$I$14*B68/1000</f>
        <v>366.40389449999998</v>
      </c>
      <c r="M68" s="535"/>
      <c r="N68" s="535"/>
      <c r="O68" s="535">
        <f>CCBASE!$I$45*B68/1000</f>
        <v>17.447500000000002</v>
      </c>
      <c r="P68" s="535">
        <f>CCBASE!$I$10</f>
        <v>30.661922000000001</v>
      </c>
      <c r="Q68" s="535">
        <f>CCBASE!$H$51</f>
        <v>5.16</v>
      </c>
      <c r="R68" s="535">
        <f>CCBASE!$I$4</f>
        <v>8.3986041999999994</v>
      </c>
      <c r="S68" s="535">
        <f>CCBASE!$I$8</f>
        <v>16.25526</v>
      </c>
      <c r="T68" s="535">
        <f>CCBASE!$I$44</f>
        <v>94.69</v>
      </c>
      <c r="U68" s="535"/>
      <c r="V68" s="535"/>
      <c r="W68" s="535">
        <f>CCBASE!$I$41*B68/1000</f>
        <v>103.3402475</v>
      </c>
      <c r="X68" s="535"/>
      <c r="Y68" s="535"/>
      <c r="Z68" s="535"/>
      <c r="AA68" s="535"/>
      <c r="AB68" s="535"/>
      <c r="AC68" s="535"/>
      <c r="AD68" s="535">
        <f>CCBASE!$I$37*2</f>
        <v>240.12910599999998</v>
      </c>
    </row>
    <row r="69" spans="1:30" x14ac:dyDescent="0.2">
      <c r="A69" s="533" t="s">
        <v>1075</v>
      </c>
      <c r="B69" s="533">
        <v>2000</v>
      </c>
      <c r="C69" s="533">
        <v>1500</v>
      </c>
      <c r="D69" s="533" t="str">
        <f t="shared" si="2"/>
        <v>UVI20001500</v>
      </c>
      <c r="E69" s="907">
        <f t="shared" si="3"/>
        <v>1967.1204648999997</v>
      </c>
      <c r="F69" s="534">
        <v>19</v>
      </c>
      <c r="G69" s="535">
        <f>F69*CCBASE!$B$51</f>
        <v>684</v>
      </c>
      <c r="H69" s="535">
        <f>CCBASE!$I$11*B69/1000</f>
        <v>321.98592439999999</v>
      </c>
      <c r="I69" s="535"/>
      <c r="J69" s="535"/>
      <c r="K69" s="535"/>
      <c r="L69" s="535">
        <f>CCBASE!$I$14*B69/1000</f>
        <v>418.74730799999998</v>
      </c>
      <c r="M69" s="535"/>
      <c r="N69" s="535"/>
      <c r="O69" s="535">
        <f>CCBASE!$I$45*B69/1000</f>
        <v>19.940000000000001</v>
      </c>
      <c r="P69" s="535">
        <f>CCBASE!$I$9</f>
        <v>39.7111223</v>
      </c>
      <c r="Q69" s="535">
        <f>CCBASE!$H$51</f>
        <v>5.16</v>
      </c>
      <c r="R69" s="535">
        <f>CCBASE!$I$4</f>
        <v>8.3986041999999994</v>
      </c>
      <c r="S69" s="535">
        <f>CCBASE!$I$8</f>
        <v>16.25526</v>
      </c>
      <c r="T69" s="535">
        <f>CCBASE!$I$44</f>
        <v>94.69</v>
      </c>
      <c r="U69" s="535"/>
      <c r="V69" s="535"/>
      <c r="W69" s="535">
        <f>CCBASE!$I$41*B69/1000</f>
        <v>118.10314</v>
      </c>
      <c r="X69" s="535"/>
      <c r="Y69" s="535"/>
      <c r="Z69" s="535"/>
      <c r="AA69" s="535"/>
      <c r="AB69" s="535"/>
      <c r="AC69" s="535"/>
      <c r="AD69" s="535">
        <f>CCBASE!$I$37*2</f>
        <v>240.12910599999998</v>
      </c>
    </row>
    <row r="70" spans="1:30" x14ac:dyDescent="0.2">
      <c r="A70" s="533" t="s">
        <v>1075</v>
      </c>
      <c r="B70" s="533">
        <v>2250</v>
      </c>
      <c r="C70" s="533">
        <v>1500</v>
      </c>
      <c r="D70" s="533" t="str">
        <f t="shared" si="2"/>
        <v>UVI22501500</v>
      </c>
      <c r="E70" s="907">
        <f t="shared" si="3"/>
        <v>2256.9675114499996</v>
      </c>
      <c r="F70" s="534">
        <v>24</v>
      </c>
      <c r="G70" s="535">
        <f>F70*CCBASE!$B$51</f>
        <v>864</v>
      </c>
      <c r="H70" s="535">
        <f>CCBASE!$I$11*B70/1000</f>
        <v>362.23416494999998</v>
      </c>
      <c r="I70" s="535"/>
      <c r="J70" s="535"/>
      <c r="K70" s="535"/>
      <c r="L70" s="535">
        <f>CCBASE!$I$14*B70/1000</f>
        <v>471.09072149999997</v>
      </c>
      <c r="M70" s="535"/>
      <c r="N70" s="535"/>
      <c r="O70" s="535">
        <f>CCBASE!$I$45*B70/1000</f>
        <v>22.432500000000001</v>
      </c>
      <c r="P70" s="535">
        <f>CCBASE!$I$9</f>
        <v>39.7111223</v>
      </c>
      <c r="Q70" s="535">
        <f>CCBASE!$H$51</f>
        <v>5.16</v>
      </c>
      <c r="R70" s="535">
        <f>CCBASE!$I$4</f>
        <v>8.3986041999999994</v>
      </c>
      <c r="S70" s="535">
        <f>CCBASE!$I$8</f>
        <v>16.25526</v>
      </c>
      <c r="T70" s="535">
        <f>CCBASE!$I$44</f>
        <v>94.69</v>
      </c>
      <c r="U70" s="535"/>
      <c r="V70" s="535"/>
      <c r="W70" s="535">
        <f>CCBASE!$I$41*B70/1000</f>
        <v>132.86603249999999</v>
      </c>
      <c r="X70" s="535"/>
      <c r="Y70" s="535"/>
      <c r="Z70" s="535"/>
      <c r="AA70" s="535"/>
      <c r="AB70" s="535"/>
      <c r="AC70" s="535"/>
      <c r="AD70" s="535">
        <f>CCBASE!$I$37*2</f>
        <v>240.12910599999998</v>
      </c>
    </row>
    <row r="71" spans="1:30" x14ac:dyDescent="0.2">
      <c r="A71" s="533" t="s">
        <v>1075</v>
      </c>
      <c r="B71" s="533">
        <v>2500</v>
      </c>
      <c r="C71" s="533">
        <v>1500</v>
      </c>
      <c r="D71" s="533" t="str">
        <f t="shared" si="2"/>
        <v>UVI25001500</v>
      </c>
      <c r="E71" s="907">
        <f t="shared" si="3"/>
        <v>2366.8145579999996</v>
      </c>
      <c r="F71" s="534">
        <v>24</v>
      </c>
      <c r="G71" s="535">
        <f>F71*CCBASE!$B$51</f>
        <v>864</v>
      </c>
      <c r="H71" s="535">
        <f>CCBASE!$I$11*B71/1000</f>
        <v>402.48240549999997</v>
      </c>
      <c r="I71" s="535"/>
      <c r="J71" s="535"/>
      <c r="K71" s="535"/>
      <c r="L71" s="535">
        <f>CCBASE!$I$14*B71/1000</f>
        <v>523.43413499999997</v>
      </c>
      <c r="M71" s="535"/>
      <c r="N71" s="535"/>
      <c r="O71" s="535">
        <f>CCBASE!$I$45*B71/1000</f>
        <v>24.925000000000001</v>
      </c>
      <c r="P71" s="535">
        <f>CCBASE!$I$9</f>
        <v>39.7111223</v>
      </c>
      <c r="Q71" s="535">
        <f>CCBASE!$H$51</f>
        <v>5.16</v>
      </c>
      <c r="R71" s="535">
        <f>CCBASE!$I$4</f>
        <v>8.3986041999999994</v>
      </c>
      <c r="S71" s="535">
        <f>CCBASE!$I$8</f>
        <v>16.25526</v>
      </c>
      <c r="T71" s="535">
        <f>CCBASE!$I$44</f>
        <v>94.69</v>
      </c>
      <c r="U71" s="535"/>
      <c r="V71" s="535"/>
      <c r="W71" s="535">
        <f>CCBASE!$I$41*B71/1000</f>
        <v>147.62892499999998</v>
      </c>
      <c r="X71" s="535"/>
      <c r="Y71" s="535"/>
      <c r="Z71" s="535"/>
      <c r="AA71" s="535"/>
      <c r="AB71" s="535"/>
      <c r="AC71" s="535"/>
      <c r="AD71" s="535">
        <f>CCBASE!$I$37*2</f>
        <v>240.12910599999998</v>
      </c>
    </row>
    <row r="72" spans="1:30" x14ac:dyDescent="0.2">
      <c r="A72" s="533" t="s">
        <v>1075</v>
      </c>
      <c r="B72" s="533">
        <v>2750</v>
      </c>
      <c r="C72" s="533">
        <v>1500</v>
      </c>
      <c r="D72" s="533" t="str">
        <f t="shared" si="2"/>
        <v>UVI27501500</v>
      </c>
      <c r="E72" s="907">
        <f t="shared" si="3"/>
        <v>2476.6616045499995</v>
      </c>
      <c r="F72" s="534">
        <v>24</v>
      </c>
      <c r="G72" s="535">
        <f>F72*CCBASE!$B$51</f>
        <v>864</v>
      </c>
      <c r="H72" s="535">
        <f>CCBASE!$I$11*B72/1000</f>
        <v>442.73064604999996</v>
      </c>
      <c r="I72" s="535"/>
      <c r="J72" s="535"/>
      <c r="K72" s="535"/>
      <c r="L72" s="535">
        <f>CCBASE!$I$14*B72/1000</f>
        <v>575.77754849999997</v>
      </c>
      <c r="M72" s="535"/>
      <c r="N72" s="535"/>
      <c r="O72" s="535">
        <f>CCBASE!$I$45*B72/1000</f>
        <v>27.4175</v>
      </c>
      <c r="P72" s="535">
        <f>CCBASE!$I$9</f>
        <v>39.7111223</v>
      </c>
      <c r="Q72" s="535">
        <f>CCBASE!$H$51</f>
        <v>5.16</v>
      </c>
      <c r="R72" s="535">
        <f>CCBASE!$I$4</f>
        <v>8.3986041999999994</v>
      </c>
      <c r="S72" s="535">
        <f>CCBASE!$I$8</f>
        <v>16.25526</v>
      </c>
      <c r="T72" s="535">
        <f>CCBASE!$I$44</f>
        <v>94.69</v>
      </c>
      <c r="U72" s="535"/>
      <c r="V72" s="535"/>
      <c r="W72" s="535">
        <f>CCBASE!$I$41*B72/1000</f>
        <v>162.3918175</v>
      </c>
      <c r="X72" s="535"/>
      <c r="Y72" s="535"/>
      <c r="Z72" s="535"/>
      <c r="AA72" s="535"/>
      <c r="AB72" s="535"/>
      <c r="AC72" s="535"/>
      <c r="AD72" s="535">
        <f>CCBASE!$I$37*2</f>
        <v>240.12910599999998</v>
      </c>
    </row>
    <row r="73" spans="1:30" x14ac:dyDescent="0.2">
      <c r="A73" s="533" t="s">
        <v>1075</v>
      </c>
      <c r="B73" s="533">
        <v>3000</v>
      </c>
      <c r="C73" s="533">
        <v>1500</v>
      </c>
      <c r="D73" s="533" t="str">
        <f t="shared" si="2"/>
        <v>UVI30001500</v>
      </c>
      <c r="E73" s="907">
        <f t="shared" si="3"/>
        <v>2586.5086510999995</v>
      </c>
      <c r="F73" s="534">
        <v>24</v>
      </c>
      <c r="G73" s="535">
        <f>F73*CCBASE!$B$51</f>
        <v>864</v>
      </c>
      <c r="H73" s="535">
        <f>CCBASE!$I$11*B73/1000</f>
        <v>482.97888659999995</v>
      </c>
      <c r="I73" s="535"/>
      <c r="J73" s="535"/>
      <c r="K73" s="535"/>
      <c r="L73" s="535">
        <f>CCBASE!$I$14*B73/1000</f>
        <v>628.12096199999996</v>
      </c>
      <c r="M73" s="535"/>
      <c r="N73" s="535"/>
      <c r="O73" s="535">
        <f>CCBASE!$I$45*B73/1000</f>
        <v>29.910000000000004</v>
      </c>
      <c r="P73" s="535">
        <f>CCBASE!$I$9</f>
        <v>39.7111223</v>
      </c>
      <c r="Q73" s="535">
        <f>CCBASE!$H$51</f>
        <v>5.16</v>
      </c>
      <c r="R73" s="535">
        <f>CCBASE!$I$4</f>
        <v>8.3986041999999994</v>
      </c>
      <c r="S73" s="535">
        <f>CCBASE!$I$8</f>
        <v>16.25526</v>
      </c>
      <c r="T73" s="535">
        <f>CCBASE!$I$44</f>
        <v>94.69</v>
      </c>
      <c r="U73" s="535"/>
      <c r="V73" s="535"/>
      <c r="W73" s="535">
        <f>CCBASE!$I$41*B73/1000</f>
        <v>177.15470999999999</v>
      </c>
      <c r="X73" s="535"/>
      <c r="Y73" s="535"/>
      <c r="Z73" s="535"/>
      <c r="AA73" s="535"/>
      <c r="AB73" s="535"/>
      <c r="AC73" s="535"/>
      <c r="AD73" s="535">
        <f>CCBASE!$I$37*2</f>
        <v>240.12910599999998</v>
      </c>
    </row>
    <row r="74" spans="1:30" x14ac:dyDescent="0.2">
      <c r="A74" s="533" t="s">
        <v>1075</v>
      </c>
      <c r="B74" s="533">
        <v>1000</v>
      </c>
      <c r="C74" s="533">
        <v>1750</v>
      </c>
      <c r="D74" s="533" t="str">
        <f t="shared" si="2"/>
        <v>UVI10001750</v>
      </c>
      <c r="E74" s="907">
        <f t="shared" si="3"/>
        <v>1562.4504523999999</v>
      </c>
      <c r="F74" s="534">
        <v>19</v>
      </c>
      <c r="G74" s="535">
        <f>F74*CCBASE!$B$51</f>
        <v>684</v>
      </c>
      <c r="H74" s="535">
        <f>CCBASE!$I$11*B74/1000</f>
        <v>160.99296219999999</v>
      </c>
      <c r="I74" s="535"/>
      <c r="J74" s="535"/>
      <c r="K74" s="535"/>
      <c r="L74" s="535">
        <f>CCBASE!$I$14*B74/1000</f>
        <v>209.37365399999999</v>
      </c>
      <c r="M74" s="535"/>
      <c r="N74" s="535"/>
      <c r="O74" s="535">
        <f>CCBASE!$I$45*B74/1000</f>
        <v>9.9700000000000006</v>
      </c>
      <c r="P74" s="535">
        <f>CCBASE!$I$10</f>
        <v>30.661922000000001</v>
      </c>
      <c r="Q74" s="535">
        <f>CCBASE!$H$51</f>
        <v>5.16</v>
      </c>
      <c r="R74" s="535">
        <f>CCBASE!$I$4</f>
        <v>8.3986041999999994</v>
      </c>
      <c r="S74" s="535">
        <f>CCBASE!$I$8</f>
        <v>16.25526</v>
      </c>
      <c r="T74" s="535">
        <f>CCBASE!$I$44</f>
        <v>94.69</v>
      </c>
      <c r="U74" s="534"/>
      <c r="V74" s="534"/>
      <c r="W74" s="535">
        <f>CCBASE!$I$42*B74/1000</f>
        <v>70.880589999999998</v>
      </c>
      <c r="X74" s="535"/>
      <c r="Y74" s="535"/>
      <c r="Z74" s="535"/>
      <c r="AA74" s="535"/>
      <c r="AB74" s="535"/>
      <c r="AC74" s="535"/>
      <c r="AD74" s="535">
        <f>CCBASE!$I$38*2</f>
        <v>272.06745999999998</v>
      </c>
    </row>
    <row r="75" spans="1:30" x14ac:dyDescent="0.2">
      <c r="A75" s="533" t="s">
        <v>1075</v>
      </c>
      <c r="B75" s="533">
        <v>1250</v>
      </c>
      <c r="C75" s="533">
        <v>1750</v>
      </c>
      <c r="D75" s="533" t="str">
        <f t="shared" si="2"/>
        <v>UVI12501750</v>
      </c>
      <c r="E75" s="907">
        <f t="shared" si="3"/>
        <v>1675.2547539499999</v>
      </c>
      <c r="F75" s="534">
        <v>19</v>
      </c>
      <c r="G75" s="535">
        <f>F75*CCBASE!$B$51</f>
        <v>684</v>
      </c>
      <c r="H75" s="535">
        <f>CCBASE!$I$11*B75/1000</f>
        <v>201.24120274999999</v>
      </c>
      <c r="I75" s="535"/>
      <c r="J75" s="535"/>
      <c r="K75" s="535"/>
      <c r="L75" s="535">
        <f>CCBASE!$I$14*B75/1000</f>
        <v>261.71706749999998</v>
      </c>
      <c r="M75" s="535"/>
      <c r="N75" s="535"/>
      <c r="O75" s="535">
        <f>CCBASE!$I$45*B75/1000</f>
        <v>12.4625</v>
      </c>
      <c r="P75" s="535">
        <f>CCBASE!$I$10</f>
        <v>30.661922000000001</v>
      </c>
      <c r="Q75" s="535">
        <f>CCBASE!$H$51</f>
        <v>5.16</v>
      </c>
      <c r="R75" s="535">
        <f>CCBASE!$I$4</f>
        <v>8.3986041999999994</v>
      </c>
      <c r="S75" s="535">
        <f>CCBASE!$I$8</f>
        <v>16.25526</v>
      </c>
      <c r="T75" s="535">
        <f>CCBASE!$I$44</f>
        <v>94.69</v>
      </c>
      <c r="U75" s="534"/>
      <c r="V75" s="534"/>
      <c r="W75" s="535">
        <f>CCBASE!$I$42*B75/1000</f>
        <v>88.600737500000008</v>
      </c>
      <c r="X75" s="535"/>
      <c r="Y75" s="535"/>
      <c r="Z75" s="535"/>
      <c r="AA75" s="535"/>
      <c r="AB75" s="535"/>
      <c r="AC75" s="535"/>
      <c r="AD75" s="535">
        <f>CCBASE!$I$38*2</f>
        <v>272.06745999999998</v>
      </c>
    </row>
    <row r="76" spans="1:30" x14ac:dyDescent="0.2">
      <c r="A76" s="533" t="s">
        <v>1075</v>
      </c>
      <c r="B76" s="533">
        <v>1500</v>
      </c>
      <c r="C76" s="533">
        <v>1750</v>
      </c>
      <c r="D76" s="533" t="str">
        <f t="shared" si="2"/>
        <v>UVI15001750</v>
      </c>
      <c r="E76" s="907">
        <f t="shared" si="3"/>
        <v>1788.0590554999999</v>
      </c>
      <c r="F76" s="534">
        <v>19</v>
      </c>
      <c r="G76" s="535">
        <f>F76*CCBASE!$B$51</f>
        <v>684</v>
      </c>
      <c r="H76" s="535">
        <f>CCBASE!$I$11*B76/1000</f>
        <v>241.48944329999998</v>
      </c>
      <c r="I76" s="535"/>
      <c r="J76" s="535"/>
      <c r="K76" s="535"/>
      <c r="L76" s="535">
        <f>CCBASE!$I$14*B76/1000</f>
        <v>314.06048099999998</v>
      </c>
      <c r="M76" s="535"/>
      <c r="N76" s="535"/>
      <c r="O76" s="535">
        <f>CCBASE!$I$45*B76/1000</f>
        <v>14.955000000000002</v>
      </c>
      <c r="P76" s="535">
        <f>CCBASE!$I$10</f>
        <v>30.661922000000001</v>
      </c>
      <c r="Q76" s="535">
        <f>CCBASE!$H$51</f>
        <v>5.16</v>
      </c>
      <c r="R76" s="535">
        <f>CCBASE!$I$4</f>
        <v>8.3986041999999994</v>
      </c>
      <c r="S76" s="535">
        <f>CCBASE!$I$8</f>
        <v>16.25526</v>
      </c>
      <c r="T76" s="535">
        <f>CCBASE!$I$44</f>
        <v>94.69</v>
      </c>
      <c r="U76" s="534"/>
      <c r="V76" s="534"/>
      <c r="W76" s="535">
        <f>CCBASE!$I$42*B76/1000</f>
        <v>106.32088499999999</v>
      </c>
      <c r="X76" s="535"/>
      <c r="Y76" s="535"/>
      <c r="Z76" s="535"/>
      <c r="AA76" s="535"/>
      <c r="AB76" s="535"/>
      <c r="AC76" s="535"/>
      <c r="AD76" s="535">
        <f>CCBASE!$I$38*2</f>
        <v>272.06745999999998</v>
      </c>
    </row>
    <row r="77" spans="1:30" x14ac:dyDescent="0.2">
      <c r="A77" s="533" t="s">
        <v>1075</v>
      </c>
      <c r="B77" s="533">
        <v>1750</v>
      </c>
      <c r="C77" s="533">
        <v>1750</v>
      </c>
      <c r="D77" s="533" t="str">
        <f t="shared" si="2"/>
        <v>UVI17501750</v>
      </c>
      <c r="E77" s="907">
        <f t="shared" si="3"/>
        <v>1909.9125573499998</v>
      </c>
      <c r="F77" s="534">
        <v>19</v>
      </c>
      <c r="G77" s="535">
        <f>F77*CCBASE!$B$51</f>
        <v>684</v>
      </c>
      <c r="H77" s="535">
        <f>CCBASE!$I$11*B77/1000</f>
        <v>281.73768385</v>
      </c>
      <c r="I77" s="535"/>
      <c r="J77" s="535"/>
      <c r="K77" s="535"/>
      <c r="L77" s="535">
        <f>CCBASE!$I$14*B77/1000</f>
        <v>366.40389449999998</v>
      </c>
      <c r="M77" s="535"/>
      <c r="N77" s="535"/>
      <c r="O77" s="535">
        <f>CCBASE!$I$45*B77/1000</f>
        <v>17.447500000000002</v>
      </c>
      <c r="P77" s="535">
        <f>CCBASE!$I$9</f>
        <v>39.7111223</v>
      </c>
      <c r="Q77" s="535">
        <f>CCBASE!$H$51</f>
        <v>5.16</v>
      </c>
      <c r="R77" s="535">
        <f>CCBASE!$I$4</f>
        <v>8.3986041999999994</v>
      </c>
      <c r="S77" s="535">
        <f>CCBASE!$I$8</f>
        <v>16.25526</v>
      </c>
      <c r="T77" s="535">
        <f>CCBASE!$I$44</f>
        <v>94.69</v>
      </c>
      <c r="U77" s="534"/>
      <c r="V77" s="534"/>
      <c r="W77" s="535">
        <f>CCBASE!$I$42*B77/1000</f>
        <v>124.0410325</v>
      </c>
      <c r="X77" s="535"/>
      <c r="Y77" s="535"/>
      <c r="Z77" s="535"/>
      <c r="AA77" s="535"/>
      <c r="AB77" s="535"/>
      <c r="AC77" s="535"/>
      <c r="AD77" s="535">
        <f>CCBASE!$I$38*2</f>
        <v>272.06745999999998</v>
      </c>
    </row>
    <row r="78" spans="1:30" x14ac:dyDescent="0.2">
      <c r="A78" s="533" t="s">
        <v>1075</v>
      </c>
      <c r="B78" s="533">
        <v>2000</v>
      </c>
      <c r="C78" s="533">
        <v>1750</v>
      </c>
      <c r="D78" s="533" t="str">
        <f t="shared" si="2"/>
        <v>UVI20001750</v>
      </c>
      <c r="E78" s="907">
        <f t="shared" si="3"/>
        <v>2022.7168588999998</v>
      </c>
      <c r="F78" s="534">
        <v>19</v>
      </c>
      <c r="G78" s="535">
        <f>F78*CCBASE!$B$51</f>
        <v>684</v>
      </c>
      <c r="H78" s="535">
        <f>CCBASE!$I$11*B78/1000</f>
        <v>321.98592439999999</v>
      </c>
      <c r="I78" s="535"/>
      <c r="J78" s="535"/>
      <c r="K78" s="535"/>
      <c r="L78" s="535">
        <f>CCBASE!$I$14*B78/1000</f>
        <v>418.74730799999998</v>
      </c>
      <c r="M78" s="535"/>
      <c r="N78" s="535"/>
      <c r="O78" s="535">
        <f>CCBASE!$I$45*B78/1000</f>
        <v>19.940000000000001</v>
      </c>
      <c r="P78" s="535">
        <f>CCBASE!$I$9</f>
        <v>39.7111223</v>
      </c>
      <c r="Q78" s="535">
        <f>CCBASE!$H$51</f>
        <v>5.16</v>
      </c>
      <c r="R78" s="535">
        <f>CCBASE!$I$4</f>
        <v>8.3986041999999994</v>
      </c>
      <c r="S78" s="535">
        <f>CCBASE!$I$8</f>
        <v>16.25526</v>
      </c>
      <c r="T78" s="535">
        <f>CCBASE!$I$44</f>
        <v>94.69</v>
      </c>
      <c r="U78" s="534"/>
      <c r="V78" s="534"/>
      <c r="W78" s="535">
        <f>CCBASE!$I$42*B78/1000</f>
        <v>141.76118</v>
      </c>
      <c r="X78" s="535"/>
      <c r="Y78" s="535"/>
      <c r="Z78" s="535"/>
      <c r="AA78" s="535"/>
      <c r="AB78" s="535"/>
      <c r="AC78" s="535"/>
      <c r="AD78" s="535">
        <f>CCBASE!$I$38*2</f>
        <v>272.06745999999998</v>
      </c>
    </row>
    <row r="79" spans="1:30" x14ac:dyDescent="0.2">
      <c r="A79" s="533" t="s">
        <v>1075</v>
      </c>
      <c r="B79" s="533">
        <v>2250</v>
      </c>
      <c r="C79" s="533">
        <v>1750</v>
      </c>
      <c r="D79" s="533" t="str">
        <f t="shared" ref="D79:D110" si="4">A79&amp;B79&amp;C79</f>
        <v>UVI22501750</v>
      </c>
      <c r="E79" s="907">
        <f t="shared" si="3"/>
        <v>2315.5211604499996</v>
      </c>
      <c r="F79" s="534">
        <v>24</v>
      </c>
      <c r="G79" s="535">
        <f>F79*CCBASE!$B$51</f>
        <v>864</v>
      </c>
      <c r="H79" s="535">
        <f>CCBASE!$I$11*B79/1000</f>
        <v>362.23416494999998</v>
      </c>
      <c r="I79" s="535"/>
      <c r="J79" s="535"/>
      <c r="K79" s="535"/>
      <c r="L79" s="535">
        <f>CCBASE!$I$14*B79/1000</f>
        <v>471.09072149999997</v>
      </c>
      <c r="M79" s="535"/>
      <c r="N79" s="535"/>
      <c r="O79" s="535">
        <f>CCBASE!$I$45*B79/1000</f>
        <v>22.432500000000001</v>
      </c>
      <c r="P79" s="535">
        <f>CCBASE!$I$9</f>
        <v>39.7111223</v>
      </c>
      <c r="Q79" s="535">
        <f>CCBASE!$H$51</f>
        <v>5.16</v>
      </c>
      <c r="R79" s="535">
        <f>CCBASE!$I$4</f>
        <v>8.3986041999999994</v>
      </c>
      <c r="S79" s="535">
        <f>CCBASE!$I$8</f>
        <v>16.25526</v>
      </c>
      <c r="T79" s="535">
        <f>CCBASE!$I$44</f>
        <v>94.69</v>
      </c>
      <c r="U79" s="534"/>
      <c r="V79" s="534"/>
      <c r="W79" s="535">
        <f>CCBASE!$I$42*B79/1000</f>
        <v>159.48132749999999</v>
      </c>
      <c r="X79" s="535"/>
      <c r="Y79" s="535"/>
      <c r="Z79" s="535"/>
      <c r="AA79" s="535"/>
      <c r="AB79" s="535"/>
      <c r="AC79" s="535"/>
      <c r="AD79" s="535">
        <f>CCBASE!$I$38*2</f>
        <v>272.06745999999998</v>
      </c>
    </row>
    <row r="80" spans="1:30" x14ac:dyDescent="0.2">
      <c r="A80" s="533" t="s">
        <v>1075</v>
      </c>
      <c r="B80" s="533">
        <v>2500</v>
      </c>
      <c r="C80" s="533">
        <v>1750</v>
      </c>
      <c r="D80" s="533" t="str">
        <f t="shared" si="4"/>
        <v>UVI25001750</v>
      </c>
      <c r="E80" s="907">
        <f t="shared" si="3"/>
        <v>2428.3254619999998</v>
      </c>
      <c r="F80" s="534">
        <v>24</v>
      </c>
      <c r="G80" s="535">
        <f>F80*CCBASE!$B$51</f>
        <v>864</v>
      </c>
      <c r="H80" s="535">
        <f>CCBASE!$I$11*B80/1000</f>
        <v>402.48240549999997</v>
      </c>
      <c r="I80" s="535"/>
      <c r="J80" s="535"/>
      <c r="K80" s="535"/>
      <c r="L80" s="535">
        <f>CCBASE!$I$14*B80/1000</f>
        <v>523.43413499999997</v>
      </c>
      <c r="M80" s="535"/>
      <c r="N80" s="535"/>
      <c r="O80" s="535">
        <f>CCBASE!$I$45*B80/1000</f>
        <v>24.925000000000001</v>
      </c>
      <c r="P80" s="535">
        <f>CCBASE!$I$9</f>
        <v>39.7111223</v>
      </c>
      <c r="Q80" s="535">
        <f>CCBASE!$H$51</f>
        <v>5.16</v>
      </c>
      <c r="R80" s="535">
        <f>CCBASE!$I$4</f>
        <v>8.3986041999999994</v>
      </c>
      <c r="S80" s="535">
        <f>CCBASE!$I$8</f>
        <v>16.25526</v>
      </c>
      <c r="T80" s="535">
        <f>CCBASE!$I$44</f>
        <v>94.69</v>
      </c>
      <c r="U80" s="534"/>
      <c r="V80" s="534"/>
      <c r="W80" s="535">
        <f>CCBASE!$I$42*B80/1000</f>
        <v>177.20147500000002</v>
      </c>
      <c r="X80" s="535"/>
      <c r="Y80" s="535"/>
      <c r="Z80" s="535"/>
      <c r="AA80" s="535"/>
      <c r="AB80" s="535"/>
      <c r="AC80" s="535"/>
      <c r="AD80" s="535">
        <f>CCBASE!$I$38*2</f>
        <v>272.06745999999998</v>
      </c>
    </row>
    <row r="81" spans="1:30" x14ac:dyDescent="0.2">
      <c r="A81" s="533" t="s">
        <v>1075</v>
      </c>
      <c r="B81" s="533">
        <v>2750</v>
      </c>
      <c r="C81" s="533">
        <v>1750</v>
      </c>
      <c r="D81" s="533" t="str">
        <f t="shared" si="4"/>
        <v>UVI27501750</v>
      </c>
      <c r="E81" s="907">
        <f t="shared" si="3"/>
        <v>2541.1297635499996</v>
      </c>
      <c r="F81" s="534">
        <v>24</v>
      </c>
      <c r="G81" s="535">
        <f>F81*CCBASE!$B$51</f>
        <v>864</v>
      </c>
      <c r="H81" s="535">
        <f>CCBASE!$I$11*B81/1000</f>
        <v>442.73064604999996</v>
      </c>
      <c r="I81" s="535"/>
      <c r="J81" s="535"/>
      <c r="K81" s="535"/>
      <c r="L81" s="535">
        <f>CCBASE!$I$14*B81/1000</f>
        <v>575.77754849999997</v>
      </c>
      <c r="M81" s="535"/>
      <c r="N81" s="535"/>
      <c r="O81" s="535">
        <f>CCBASE!$I$45*B81/1000</f>
        <v>27.4175</v>
      </c>
      <c r="P81" s="535">
        <f>CCBASE!$I$9</f>
        <v>39.7111223</v>
      </c>
      <c r="Q81" s="535">
        <f>CCBASE!$H$51</f>
        <v>5.16</v>
      </c>
      <c r="R81" s="535">
        <f>CCBASE!$I$4</f>
        <v>8.3986041999999994</v>
      </c>
      <c r="S81" s="535">
        <f>CCBASE!$I$8</f>
        <v>16.25526</v>
      </c>
      <c r="T81" s="535">
        <f>CCBASE!$I$44</f>
        <v>94.69</v>
      </c>
      <c r="U81" s="534"/>
      <c r="V81" s="534"/>
      <c r="W81" s="535">
        <f>CCBASE!$I$42*B81/1000</f>
        <v>194.92162249999998</v>
      </c>
      <c r="X81" s="535"/>
      <c r="Y81" s="535"/>
      <c r="Z81" s="535"/>
      <c r="AA81" s="535"/>
      <c r="AB81" s="535"/>
      <c r="AC81" s="535"/>
      <c r="AD81" s="535">
        <f>CCBASE!$I$38*2</f>
        <v>272.06745999999998</v>
      </c>
    </row>
    <row r="82" spans="1:30" x14ac:dyDescent="0.2">
      <c r="A82" s="533" t="s">
        <v>1075</v>
      </c>
      <c r="B82" s="533">
        <v>3000</v>
      </c>
      <c r="C82" s="533">
        <v>1750</v>
      </c>
      <c r="D82" s="533" t="str">
        <f t="shared" si="4"/>
        <v>UVI30001750</v>
      </c>
      <c r="E82" s="907">
        <f t="shared" si="3"/>
        <v>2653.9340651000002</v>
      </c>
      <c r="F82" s="534">
        <v>24</v>
      </c>
      <c r="G82" s="535">
        <f>F82*CCBASE!$B$51</f>
        <v>864</v>
      </c>
      <c r="H82" s="535">
        <f>CCBASE!$I$11*B82/1000</f>
        <v>482.97888659999995</v>
      </c>
      <c r="I82" s="535"/>
      <c r="J82" s="535"/>
      <c r="K82" s="535"/>
      <c r="L82" s="535">
        <f>CCBASE!$I$14*B82/1000</f>
        <v>628.12096199999996</v>
      </c>
      <c r="M82" s="535"/>
      <c r="N82" s="535"/>
      <c r="O82" s="535">
        <f>CCBASE!$I$45*B82/1000</f>
        <v>29.910000000000004</v>
      </c>
      <c r="P82" s="535">
        <f>CCBASE!$I$9</f>
        <v>39.7111223</v>
      </c>
      <c r="Q82" s="535">
        <f>CCBASE!$H$51</f>
        <v>5.16</v>
      </c>
      <c r="R82" s="535">
        <f>CCBASE!$I$4</f>
        <v>8.3986041999999994</v>
      </c>
      <c r="S82" s="535">
        <f>CCBASE!$I$8</f>
        <v>16.25526</v>
      </c>
      <c r="T82" s="535">
        <f>CCBASE!$I$44</f>
        <v>94.69</v>
      </c>
      <c r="U82" s="534"/>
      <c r="V82" s="534"/>
      <c r="W82" s="535">
        <f>CCBASE!$I$42*B82/1000</f>
        <v>212.64176999999998</v>
      </c>
      <c r="X82" s="535"/>
      <c r="Y82" s="535"/>
      <c r="Z82" s="535"/>
      <c r="AA82" s="535"/>
      <c r="AB82" s="535"/>
      <c r="AC82" s="535"/>
      <c r="AD82" s="535">
        <f>CCBASE!$I$38*2</f>
        <v>272.06745999999998</v>
      </c>
    </row>
    <row r="83" spans="1:30" x14ac:dyDescent="0.2">
      <c r="A83" s="533" t="s">
        <v>1075</v>
      </c>
      <c r="B83" s="533">
        <v>1000</v>
      </c>
      <c r="C83" s="533">
        <v>2000</v>
      </c>
      <c r="D83" s="533" t="str">
        <f t="shared" si="4"/>
        <v>UVI10002000</v>
      </c>
      <c r="E83" s="907">
        <f t="shared" si="3"/>
        <v>1619.2297483999998</v>
      </c>
      <c r="F83" s="534">
        <v>19</v>
      </c>
      <c r="G83" s="535">
        <f>F83*CCBASE!$B$51</f>
        <v>684</v>
      </c>
      <c r="H83" s="535">
        <f>CCBASE!$I$11*B83/1000</f>
        <v>160.99296219999999</v>
      </c>
      <c r="I83" s="535"/>
      <c r="J83" s="535"/>
      <c r="K83" s="535"/>
      <c r="L83" s="535">
        <f>CCBASE!$I$14*B83/1000</f>
        <v>209.37365399999999</v>
      </c>
      <c r="M83" s="535"/>
      <c r="N83" s="535"/>
      <c r="O83" s="535">
        <f>CCBASE!$I$45*B83/1000</f>
        <v>9.9700000000000006</v>
      </c>
      <c r="P83" s="535">
        <f>CCBASE!$I$10</f>
        <v>30.661922000000001</v>
      </c>
      <c r="Q83" s="535">
        <f>CCBASE!$H$51</f>
        <v>5.16</v>
      </c>
      <c r="R83" s="535">
        <f>CCBASE!$I$4</f>
        <v>8.3986041999999994</v>
      </c>
      <c r="S83" s="535">
        <f>CCBASE!$I$8</f>
        <v>16.25526</v>
      </c>
      <c r="T83" s="535">
        <f>CCBASE!$I$44</f>
        <v>94.69</v>
      </c>
      <c r="U83" s="534"/>
      <c r="V83" s="534"/>
      <c r="W83" s="535">
        <f>CCBASE!$I$43*B83/1000</f>
        <v>88.624119999999991</v>
      </c>
      <c r="X83" s="535"/>
      <c r="Y83" s="535"/>
      <c r="Z83" s="535"/>
      <c r="AA83" s="535"/>
      <c r="AB83" s="535"/>
      <c r="AC83" s="535"/>
      <c r="AD83" s="535">
        <f>CCBASE!$I$39*2</f>
        <v>311.10322599999995</v>
      </c>
    </row>
    <row r="84" spans="1:30" x14ac:dyDescent="0.2">
      <c r="A84" s="533" t="s">
        <v>1075</v>
      </c>
      <c r="B84" s="533">
        <v>1250</v>
      </c>
      <c r="C84" s="533">
        <v>2000</v>
      </c>
      <c r="D84" s="533" t="str">
        <f t="shared" si="4"/>
        <v>UVI12502000</v>
      </c>
      <c r="E84" s="907">
        <f t="shared" si="3"/>
        <v>1736.46993245</v>
      </c>
      <c r="F84" s="534">
        <v>19</v>
      </c>
      <c r="G84" s="535">
        <f>F84*CCBASE!$B$51</f>
        <v>684</v>
      </c>
      <c r="H84" s="535">
        <f>CCBASE!$I$11*B84/1000</f>
        <v>201.24120274999999</v>
      </c>
      <c r="I84" s="535"/>
      <c r="J84" s="535"/>
      <c r="K84" s="535"/>
      <c r="L84" s="535">
        <f>CCBASE!$I$14*B84/1000</f>
        <v>261.71706749999998</v>
      </c>
      <c r="M84" s="535"/>
      <c r="N84" s="535"/>
      <c r="O84" s="535">
        <f>CCBASE!$I$45*B84/1000</f>
        <v>12.4625</v>
      </c>
      <c r="P84" s="535">
        <f>CCBASE!$I$10</f>
        <v>30.661922000000001</v>
      </c>
      <c r="Q84" s="535">
        <f>CCBASE!$H$51</f>
        <v>5.16</v>
      </c>
      <c r="R84" s="535">
        <f>CCBASE!$I$4</f>
        <v>8.3986041999999994</v>
      </c>
      <c r="S84" s="535">
        <f>CCBASE!$I$8</f>
        <v>16.25526</v>
      </c>
      <c r="T84" s="535">
        <f>CCBASE!$I$44</f>
        <v>94.69</v>
      </c>
      <c r="U84" s="534"/>
      <c r="V84" s="534"/>
      <c r="W84" s="535">
        <f>CCBASE!$I$43*B84/1000</f>
        <v>110.78014999999999</v>
      </c>
      <c r="X84" s="535"/>
      <c r="Y84" s="535"/>
      <c r="Z84" s="535"/>
      <c r="AA84" s="535"/>
      <c r="AB84" s="535"/>
      <c r="AC84" s="535"/>
      <c r="AD84" s="535">
        <f>CCBASE!$I$39*2</f>
        <v>311.10322599999995</v>
      </c>
    </row>
    <row r="85" spans="1:30" x14ac:dyDescent="0.2">
      <c r="A85" s="533" t="s">
        <v>1075</v>
      </c>
      <c r="B85" s="533">
        <v>1500</v>
      </c>
      <c r="C85" s="533">
        <v>2000</v>
      </c>
      <c r="D85" s="533" t="str">
        <f t="shared" si="4"/>
        <v>UVI15002000</v>
      </c>
      <c r="E85" s="907">
        <f t="shared" si="3"/>
        <v>1853.7101164999997</v>
      </c>
      <c r="F85" s="534">
        <v>19</v>
      </c>
      <c r="G85" s="535">
        <f>F85*CCBASE!$B$51</f>
        <v>684</v>
      </c>
      <c r="H85" s="535">
        <f>CCBASE!$I$11*B85/1000</f>
        <v>241.48944329999998</v>
      </c>
      <c r="I85" s="535"/>
      <c r="J85" s="535"/>
      <c r="K85" s="535"/>
      <c r="L85" s="535">
        <f>CCBASE!$I$14*B85/1000</f>
        <v>314.06048099999998</v>
      </c>
      <c r="M85" s="535"/>
      <c r="N85" s="535"/>
      <c r="O85" s="535">
        <f>CCBASE!$I$45*B85/1000</f>
        <v>14.955000000000002</v>
      </c>
      <c r="P85" s="535">
        <f>CCBASE!$I$10</f>
        <v>30.661922000000001</v>
      </c>
      <c r="Q85" s="535">
        <f>CCBASE!$H$51</f>
        <v>5.16</v>
      </c>
      <c r="R85" s="535">
        <f>CCBASE!$I$4</f>
        <v>8.3986041999999994</v>
      </c>
      <c r="S85" s="535">
        <f>CCBASE!$I$8</f>
        <v>16.25526</v>
      </c>
      <c r="T85" s="535">
        <f>CCBASE!$I$44</f>
        <v>94.69</v>
      </c>
      <c r="U85" s="534"/>
      <c r="V85" s="534"/>
      <c r="W85" s="535">
        <f>CCBASE!$I$43*B85/1000</f>
        <v>132.93617999999998</v>
      </c>
      <c r="X85" s="535"/>
      <c r="Y85" s="535"/>
      <c r="Z85" s="535"/>
      <c r="AA85" s="535"/>
      <c r="AB85" s="535"/>
      <c r="AC85" s="535"/>
      <c r="AD85" s="535">
        <f>CCBASE!$I$39*2</f>
        <v>311.10322599999995</v>
      </c>
    </row>
    <row r="86" spans="1:30" x14ac:dyDescent="0.2">
      <c r="A86" s="533" t="s">
        <v>1075</v>
      </c>
      <c r="B86" s="533">
        <v>1750</v>
      </c>
      <c r="C86" s="533">
        <v>2000</v>
      </c>
      <c r="D86" s="533" t="str">
        <f t="shared" si="4"/>
        <v>UVI17502000</v>
      </c>
      <c r="E86" s="907">
        <f t="shared" si="3"/>
        <v>1979.9995008499998</v>
      </c>
      <c r="F86" s="534">
        <v>19</v>
      </c>
      <c r="G86" s="535">
        <f>F86*CCBASE!$B$51</f>
        <v>684</v>
      </c>
      <c r="H86" s="535">
        <f>CCBASE!$I$11*B86/1000</f>
        <v>281.73768385</v>
      </c>
      <c r="I86" s="535"/>
      <c r="J86" s="535"/>
      <c r="K86" s="535"/>
      <c r="L86" s="535">
        <f>CCBASE!$I$14*B86/1000</f>
        <v>366.40389449999998</v>
      </c>
      <c r="M86" s="535"/>
      <c r="N86" s="535"/>
      <c r="O86" s="535">
        <f>CCBASE!$I$45*B86/1000</f>
        <v>17.447500000000002</v>
      </c>
      <c r="P86" s="535">
        <f>CCBASE!$I$9</f>
        <v>39.7111223</v>
      </c>
      <c r="Q86" s="535">
        <f>CCBASE!$H$51</f>
        <v>5.16</v>
      </c>
      <c r="R86" s="535">
        <f>CCBASE!$I$4</f>
        <v>8.3986041999999994</v>
      </c>
      <c r="S86" s="535">
        <f>CCBASE!$I$8</f>
        <v>16.25526</v>
      </c>
      <c r="T86" s="535">
        <f>CCBASE!$I$44</f>
        <v>94.69</v>
      </c>
      <c r="U86" s="534"/>
      <c r="V86" s="534"/>
      <c r="W86" s="535">
        <f>CCBASE!$I$43*B86/1000</f>
        <v>155.09220999999999</v>
      </c>
      <c r="X86" s="535"/>
      <c r="Y86" s="535"/>
      <c r="Z86" s="535"/>
      <c r="AA86" s="535"/>
      <c r="AB86" s="535"/>
      <c r="AC86" s="535"/>
      <c r="AD86" s="535">
        <f>CCBASE!$I$39*2</f>
        <v>311.10322599999995</v>
      </c>
    </row>
    <row r="87" spans="1:30" x14ac:dyDescent="0.2">
      <c r="A87" s="533" t="s">
        <v>1075</v>
      </c>
      <c r="B87" s="533">
        <v>2000</v>
      </c>
      <c r="C87" s="533">
        <v>2000</v>
      </c>
      <c r="D87" s="533" t="str">
        <f t="shared" si="4"/>
        <v>UVI20002000</v>
      </c>
      <c r="E87" s="907">
        <f t="shared" si="3"/>
        <v>2097.2396848999997</v>
      </c>
      <c r="F87" s="534">
        <v>19</v>
      </c>
      <c r="G87" s="535">
        <f>F87*CCBASE!$B$51</f>
        <v>684</v>
      </c>
      <c r="H87" s="535">
        <f>CCBASE!$I$11*B87/1000</f>
        <v>321.98592439999999</v>
      </c>
      <c r="I87" s="535"/>
      <c r="J87" s="535"/>
      <c r="K87" s="535"/>
      <c r="L87" s="535">
        <f>CCBASE!$I$14*B87/1000</f>
        <v>418.74730799999998</v>
      </c>
      <c r="M87" s="535"/>
      <c r="N87" s="535"/>
      <c r="O87" s="535">
        <f>CCBASE!$I$45*B87/1000</f>
        <v>19.940000000000001</v>
      </c>
      <c r="P87" s="535">
        <f>CCBASE!$I$9</f>
        <v>39.7111223</v>
      </c>
      <c r="Q87" s="535">
        <f>CCBASE!$H$51</f>
        <v>5.16</v>
      </c>
      <c r="R87" s="535">
        <f>CCBASE!$I$4</f>
        <v>8.3986041999999994</v>
      </c>
      <c r="S87" s="535">
        <f>CCBASE!$I$8</f>
        <v>16.25526</v>
      </c>
      <c r="T87" s="535">
        <f>CCBASE!$I$44</f>
        <v>94.69</v>
      </c>
      <c r="U87" s="534"/>
      <c r="V87" s="534"/>
      <c r="W87" s="535">
        <f>CCBASE!$I$43*B87/1000</f>
        <v>177.24823999999998</v>
      </c>
      <c r="X87" s="535"/>
      <c r="Y87" s="535"/>
      <c r="Z87" s="535"/>
      <c r="AA87" s="535"/>
      <c r="AB87" s="535"/>
      <c r="AC87" s="535"/>
      <c r="AD87" s="535">
        <f>CCBASE!$I$39*2</f>
        <v>311.10322599999995</v>
      </c>
    </row>
    <row r="88" spans="1:30" x14ac:dyDescent="0.2">
      <c r="A88" s="533" t="s">
        <v>1075</v>
      </c>
      <c r="B88" s="533">
        <v>2250</v>
      </c>
      <c r="C88" s="533">
        <v>2000</v>
      </c>
      <c r="D88" s="533" t="str">
        <f t="shared" si="4"/>
        <v>UVI22502000</v>
      </c>
      <c r="E88" s="907">
        <f t="shared" si="3"/>
        <v>2394.4798689499994</v>
      </c>
      <c r="F88" s="534">
        <v>24</v>
      </c>
      <c r="G88" s="535">
        <f>F88*CCBASE!$B$51</f>
        <v>864</v>
      </c>
      <c r="H88" s="535">
        <f>CCBASE!$I$11*B88/1000</f>
        <v>362.23416494999998</v>
      </c>
      <c r="I88" s="535"/>
      <c r="J88" s="535"/>
      <c r="K88" s="535"/>
      <c r="L88" s="535">
        <f>CCBASE!$I$14*B88/1000</f>
        <v>471.09072149999997</v>
      </c>
      <c r="M88" s="535"/>
      <c r="N88" s="535"/>
      <c r="O88" s="535">
        <f>CCBASE!$I$45*B88/1000</f>
        <v>22.432500000000001</v>
      </c>
      <c r="P88" s="535">
        <f>CCBASE!$I$9</f>
        <v>39.7111223</v>
      </c>
      <c r="Q88" s="535">
        <f>CCBASE!$H$51</f>
        <v>5.16</v>
      </c>
      <c r="R88" s="535">
        <f>CCBASE!$I$4</f>
        <v>8.3986041999999994</v>
      </c>
      <c r="S88" s="535">
        <f>CCBASE!$I$8</f>
        <v>16.25526</v>
      </c>
      <c r="T88" s="535">
        <f>CCBASE!$I$44</f>
        <v>94.69</v>
      </c>
      <c r="U88" s="534"/>
      <c r="V88" s="534"/>
      <c r="W88" s="535">
        <f>CCBASE!$I$43*B88/1000</f>
        <v>199.40427</v>
      </c>
      <c r="X88" s="535"/>
      <c r="Y88" s="535"/>
      <c r="Z88" s="535"/>
      <c r="AA88" s="535"/>
      <c r="AB88" s="535"/>
      <c r="AC88" s="535"/>
      <c r="AD88" s="535">
        <f>CCBASE!$I$39*2</f>
        <v>311.10322599999995</v>
      </c>
    </row>
    <row r="89" spans="1:30" x14ac:dyDescent="0.2">
      <c r="A89" s="533" t="s">
        <v>1075</v>
      </c>
      <c r="B89" s="533">
        <v>2500</v>
      </c>
      <c r="C89" s="533">
        <v>2000</v>
      </c>
      <c r="D89" s="533" t="str">
        <f t="shared" si="4"/>
        <v>UVI25002000</v>
      </c>
      <c r="E89" s="907">
        <f t="shared" si="3"/>
        <v>2511.720053</v>
      </c>
      <c r="F89" s="534">
        <v>24</v>
      </c>
      <c r="G89" s="535">
        <f>F89*CCBASE!$B$51</f>
        <v>864</v>
      </c>
      <c r="H89" s="535">
        <f>CCBASE!$I$11*B89/1000</f>
        <v>402.48240549999997</v>
      </c>
      <c r="I89" s="535"/>
      <c r="J89" s="535"/>
      <c r="K89" s="535"/>
      <c r="L89" s="535">
        <f>CCBASE!$I$14*B89/1000</f>
        <v>523.43413499999997</v>
      </c>
      <c r="M89" s="535"/>
      <c r="N89" s="535"/>
      <c r="O89" s="535">
        <f>CCBASE!$I$45*B89/1000</f>
        <v>24.925000000000001</v>
      </c>
      <c r="P89" s="535">
        <f>CCBASE!$I$9</f>
        <v>39.7111223</v>
      </c>
      <c r="Q89" s="535">
        <f>CCBASE!$H$51</f>
        <v>5.16</v>
      </c>
      <c r="R89" s="535">
        <f>CCBASE!$I$4</f>
        <v>8.3986041999999994</v>
      </c>
      <c r="S89" s="535">
        <f>CCBASE!$I$8</f>
        <v>16.25526</v>
      </c>
      <c r="T89" s="535">
        <f>CCBASE!$I$44</f>
        <v>94.69</v>
      </c>
      <c r="U89" s="534"/>
      <c r="V89" s="534"/>
      <c r="W89" s="535">
        <f>CCBASE!$I$43*B89/1000</f>
        <v>221.56029999999998</v>
      </c>
      <c r="X89" s="535"/>
      <c r="Y89" s="535"/>
      <c r="Z89" s="535"/>
      <c r="AA89" s="535"/>
      <c r="AB89" s="535"/>
      <c r="AC89" s="535"/>
      <c r="AD89" s="535">
        <f>CCBASE!$I$39*2</f>
        <v>311.10322599999995</v>
      </c>
    </row>
    <row r="90" spans="1:30" x14ac:dyDescent="0.2">
      <c r="A90" s="533" t="s">
        <v>1075</v>
      </c>
      <c r="B90" s="533">
        <v>2750</v>
      </c>
      <c r="C90" s="533">
        <v>2000</v>
      </c>
      <c r="D90" s="533" t="str">
        <f t="shared" si="4"/>
        <v>UVI27502000</v>
      </c>
      <c r="E90" s="907">
        <f t="shared" si="3"/>
        <v>2628.9602370499997</v>
      </c>
      <c r="F90" s="534">
        <v>24</v>
      </c>
      <c r="G90" s="535">
        <f>F90*CCBASE!$B$51</f>
        <v>864</v>
      </c>
      <c r="H90" s="535">
        <f>CCBASE!$I$11*B90/1000</f>
        <v>442.73064604999996</v>
      </c>
      <c r="I90" s="535"/>
      <c r="J90" s="535"/>
      <c r="K90" s="535"/>
      <c r="L90" s="535">
        <f>CCBASE!$I$14*B90/1000</f>
        <v>575.77754849999997</v>
      </c>
      <c r="M90" s="535"/>
      <c r="N90" s="535"/>
      <c r="O90" s="535">
        <f>CCBASE!$I$45*B90/1000</f>
        <v>27.4175</v>
      </c>
      <c r="P90" s="535">
        <f>CCBASE!$I$9</f>
        <v>39.7111223</v>
      </c>
      <c r="Q90" s="535">
        <f>CCBASE!$H$51</f>
        <v>5.16</v>
      </c>
      <c r="R90" s="535">
        <f>CCBASE!$I$4</f>
        <v>8.3986041999999994</v>
      </c>
      <c r="S90" s="535">
        <f>CCBASE!$I$8</f>
        <v>16.25526</v>
      </c>
      <c r="T90" s="535">
        <f>CCBASE!$I$44</f>
        <v>94.69</v>
      </c>
      <c r="U90" s="534"/>
      <c r="V90" s="534"/>
      <c r="W90" s="535">
        <f>CCBASE!$I$43*B90/1000</f>
        <v>243.71633</v>
      </c>
      <c r="X90" s="535"/>
      <c r="Y90" s="535"/>
      <c r="Z90" s="535"/>
      <c r="AA90" s="535"/>
      <c r="AB90" s="535"/>
      <c r="AC90" s="535"/>
      <c r="AD90" s="535">
        <f>CCBASE!$I$39*2</f>
        <v>311.10322599999995</v>
      </c>
    </row>
    <row r="91" spans="1:30" x14ac:dyDescent="0.2">
      <c r="A91" s="533" t="s">
        <v>1075</v>
      </c>
      <c r="B91" s="533">
        <v>3000</v>
      </c>
      <c r="C91" s="533">
        <v>2000</v>
      </c>
      <c r="D91" s="533" t="str">
        <f t="shared" si="4"/>
        <v>UVI30002000</v>
      </c>
      <c r="E91" s="907">
        <f t="shared" si="3"/>
        <v>2746.2004210999994</v>
      </c>
      <c r="F91" s="534">
        <v>24</v>
      </c>
      <c r="G91" s="535">
        <f>F91*CCBASE!$B$51</f>
        <v>864</v>
      </c>
      <c r="H91" s="535">
        <f>CCBASE!$I$11*B91/1000</f>
        <v>482.97888659999995</v>
      </c>
      <c r="I91" s="535"/>
      <c r="J91" s="535"/>
      <c r="K91" s="535"/>
      <c r="L91" s="535">
        <f>CCBASE!$I$14*B91/1000</f>
        <v>628.12096199999996</v>
      </c>
      <c r="M91" s="535"/>
      <c r="N91" s="535"/>
      <c r="O91" s="535">
        <f>CCBASE!$I$45*B91/1000</f>
        <v>29.910000000000004</v>
      </c>
      <c r="P91" s="535">
        <f>CCBASE!$I$9</f>
        <v>39.7111223</v>
      </c>
      <c r="Q91" s="535">
        <f>CCBASE!$H$51</f>
        <v>5.16</v>
      </c>
      <c r="R91" s="535">
        <f>CCBASE!$I$4</f>
        <v>8.3986041999999994</v>
      </c>
      <c r="S91" s="535">
        <f>CCBASE!$I$8</f>
        <v>16.25526</v>
      </c>
      <c r="T91" s="535">
        <f>CCBASE!$I$44</f>
        <v>94.69</v>
      </c>
      <c r="U91" s="534"/>
      <c r="V91" s="534"/>
      <c r="W91" s="535">
        <f>CCBASE!$I$43*B91/1000</f>
        <v>265.87235999999996</v>
      </c>
      <c r="X91" s="535"/>
      <c r="Y91" s="535"/>
      <c r="Z91" s="535"/>
      <c r="AA91" s="535"/>
      <c r="AB91" s="535"/>
      <c r="AC91" s="535"/>
      <c r="AD91" s="535">
        <f>CCBASE!$I$39*2</f>
        <v>311.10322599999995</v>
      </c>
    </row>
    <row r="92" spans="1:30" x14ac:dyDescent="0.2">
      <c r="A92" s="533" t="s">
        <v>1080</v>
      </c>
      <c r="B92" s="533">
        <v>1000</v>
      </c>
      <c r="C92" s="533">
        <v>1000</v>
      </c>
      <c r="D92" s="533" t="str">
        <f t="shared" si="4"/>
        <v>UVF10001000</v>
      </c>
      <c r="E92" s="907">
        <f t="shared" si="3"/>
        <v>1836.9968474</v>
      </c>
      <c r="F92" s="534">
        <v>27.5</v>
      </c>
      <c r="G92" s="535">
        <f>F92*CCBASE!$B$51</f>
        <v>990</v>
      </c>
      <c r="H92" s="535">
        <f>CCBASE!$I$11*B92/1000</f>
        <v>160.99296219999999</v>
      </c>
      <c r="I92" s="535"/>
      <c r="J92" s="535"/>
      <c r="K92" s="535"/>
      <c r="L92" s="535">
        <f>CCBASE!$I$13*B92/1000</f>
        <v>239.537655</v>
      </c>
      <c r="M92" s="535"/>
      <c r="N92" s="535">
        <f>CCBASE!$I$7*B92/1000</f>
        <v>31.542280000000002</v>
      </c>
      <c r="O92" s="535">
        <f>CCBASE!$I$45*B92/1000</f>
        <v>9.9700000000000006</v>
      </c>
      <c r="P92" s="535">
        <f>CCBASE!$I$10</f>
        <v>30.661922000000001</v>
      </c>
      <c r="Q92" s="535">
        <f>CCBASE!$H$51</f>
        <v>5.16</v>
      </c>
      <c r="R92" s="535">
        <f>CCBASE!$I$4</f>
        <v>8.3986041999999994</v>
      </c>
      <c r="S92" s="535">
        <f>CCBASE!$I$8</f>
        <v>16.25526</v>
      </c>
      <c r="T92" s="535">
        <f>CCBASE!$I$44</f>
        <v>94.69</v>
      </c>
      <c r="U92" s="535">
        <f>CCBASE!$I$47</f>
        <v>14.41</v>
      </c>
      <c r="V92" s="535">
        <f>CCBASE!$I$46</f>
        <v>2.44</v>
      </c>
      <c r="W92" s="535">
        <f>CCBASE!$I$40*B92/1000</f>
        <v>41.308039999999998</v>
      </c>
      <c r="X92" s="535"/>
      <c r="Y92" s="535"/>
      <c r="Z92" s="535"/>
      <c r="AA92" s="535"/>
      <c r="AB92" s="535"/>
      <c r="AC92" s="535"/>
      <c r="AD92" s="535">
        <f>CCBASE!$I$36*2</f>
        <v>191.630124</v>
      </c>
    </row>
    <row r="93" spans="1:30" x14ac:dyDescent="0.2">
      <c r="A93" s="533" t="s">
        <v>1080</v>
      </c>
      <c r="B93" s="533">
        <v>1250</v>
      </c>
      <c r="C93" s="533">
        <v>1000</v>
      </c>
      <c r="D93" s="533" t="str">
        <f t="shared" si="4"/>
        <v>UVF12501000</v>
      </c>
      <c r="E93" s="907">
        <f t="shared" si="3"/>
        <v>1972.2445817000003</v>
      </c>
      <c r="F93" s="534">
        <v>27.5</v>
      </c>
      <c r="G93" s="535">
        <f>F93*CCBASE!$B$51</f>
        <v>990</v>
      </c>
      <c r="H93" s="535">
        <f>CCBASE!$I$11*B93/1000</f>
        <v>201.24120274999999</v>
      </c>
      <c r="I93" s="535"/>
      <c r="J93" s="535"/>
      <c r="K93" s="535"/>
      <c r="L93" s="535">
        <f>CCBASE!$I$13*B93/1000</f>
        <v>299.42206874999999</v>
      </c>
      <c r="M93" s="535"/>
      <c r="N93" s="535">
        <f>CCBASE!$I$7*B93/1000</f>
        <v>39.427849999999999</v>
      </c>
      <c r="O93" s="535">
        <f>CCBASE!$I$45*B93/1000</f>
        <v>12.4625</v>
      </c>
      <c r="P93" s="535">
        <f>CCBASE!$I$10</f>
        <v>30.661922000000001</v>
      </c>
      <c r="Q93" s="535">
        <f>CCBASE!$H$51</f>
        <v>5.16</v>
      </c>
      <c r="R93" s="535">
        <f>CCBASE!$I$4</f>
        <v>8.3986041999999994</v>
      </c>
      <c r="S93" s="535">
        <f>CCBASE!$I$8</f>
        <v>16.25526</v>
      </c>
      <c r="T93" s="535">
        <f>CCBASE!$I$44</f>
        <v>94.69</v>
      </c>
      <c r="U93" s="535">
        <f>CCBASE!$I$47*2</f>
        <v>28.82</v>
      </c>
      <c r="V93" s="535">
        <f>CCBASE!$I$46</f>
        <v>2.44</v>
      </c>
      <c r="W93" s="535">
        <f>CCBASE!$I$40*B93/1000</f>
        <v>51.635049999999993</v>
      </c>
      <c r="X93" s="535"/>
      <c r="Y93" s="535"/>
      <c r="Z93" s="535"/>
      <c r="AA93" s="535"/>
      <c r="AB93" s="535"/>
      <c r="AC93" s="535"/>
      <c r="AD93" s="535">
        <f>CCBASE!$I$36*2</f>
        <v>191.630124</v>
      </c>
    </row>
    <row r="94" spans="1:30" x14ac:dyDescent="0.2">
      <c r="A94" s="533" t="s">
        <v>1080</v>
      </c>
      <c r="B94" s="533">
        <v>1500</v>
      </c>
      <c r="C94" s="533">
        <v>1000</v>
      </c>
      <c r="D94" s="533" t="str">
        <f t="shared" si="4"/>
        <v>UVF15001000</v>
      </c>
      <c r="E94" s="907">
        <f t="shared" si="3"/>
        <v>2093.0823159999995</v>
      </c>
      <c r="F94" s="534">
        <v>27.5</v>
      </c>
      <c r="G94" s="535">
        <f>F94*CCBASE!$B$51</f>
        <v>990</v>
      </c>
      <c r="H94" s="535">
        <f>CCBASE!$I$11*B94/1000</f>
        <v>241.48944329999998</v>
      </c>
      <c r="I94" s="535"/>
      <c r="J94" s="535"/>
      <c r="K94" s="535"/>
      <c r="L94" s="535">
        <f>CCBASE!$I$13*B94/1000</f>
        <v>359.30648249999996</v>
      </c>
      <c r="M94" s="535"/>
      <c r="N94" s="535">
        <f>CCBASE!$I$7*B94/1000</f>
        <v>47.313420000000008</v>
      </c>
      <c r="O94" s="535">
        <f>CCBASE!$I$45*B94/1000</f>
        <v>14.955000000000002</v>
      </c>
      <c r="P94" s="535">
        <f>CCBASE!$I$10</f>
        <v>30.661922000000001</v>
      </c>
      <c r="Q94" s="535">
        <f>CCBASE!$H$51</f>
        <v>5.16</v>
      </c>
      <c r="R94" s="535">
        <f>CCBASE!$I$4</f>
        <v>8.3986041999999994</v>
      </c>
      <c r="S94" s="535">
        <f>CCBASE!$I$8</f>
        <v>16.25526</v>
      </c>
      <c r="T94" s="535">
        <f>CCBASE!$I$44</f>
        <v>94.69</v>
      </c>
      <c r="U94" s="535">
        <f>CCBASE!$I$47*2</f>
        <v>28.82</v>
      </c>
      <c r="V94" s="535">
        <f>CCBASE!$I$46</f>
        <v>2.44</v>
      </c>
      <c r="W94" s="535">
        <f>CCBASE!$I$40*B94/1000</f>
        <v>61.962060000000001</v>
      </c>
      <c r="X94" s="535"/>
      <c r="Y94" s="535"/>
      <c r="Z94" s="535"/>
      <c r="AA94" s="535"/>
      <c r="AB94" s="535"/>
      <c r="AC94" s="535"/>
      <c r="AD94" s="535">
        <f>CCBASE!$I$36*2</f>
        <v>191.630124</v>
      </c>
    </row>
    <row r="95" spans="1:30" x14ac:dyDescent="0.2">
      <c r="A95" s="533" t="s">
        <v>1080</v>
      </c>
      <c r="B95" s="533">
        <v>1750</v>
      </c>
      <c r="C95" s="533">
        <v>1000</v>
      </c>
      <c r="D95" s="533" t="str">
        <f t="shared" si="4"/>
        <v>UVF17501000</v>
      </c>
      <c r="E95" s="907">
        <f t="shared" si="3"/>
        <v>2224.1892505999999</v>
      </c>
      <c r="F95" s="534">
        <v>27.5</v>
      </c>
      <c r="G95" s="535">
        <f>F95*CCBASE!$B$51</f>
        <v>990</v>
      </c>
      <c r="H95" s="535">
        <f>CCBASE!$I$11*B95/1000</f>
        <v>281.73768385</v>
      </c>
      <c r="I95" s="535"/>
      <c r="J95" s="535"/>
      <c r="K95" s="535"/>
      <c r="L95" s="535">
        <f>CCBASE!$I$13*B95/1000</f>
        <v>419.19089624999998</v>
      </c>
      <c r="M95" s="535"/>
      <c r="N95" s="535">
        <f>CCBASE!$I$7*B95/1000</f>
        <v>55.198990000000002</v>
      </c>
      <c r="O95" s="535">
        <f>CCBASE!$I$45*B95/1000</f>
        <v>17.447500000000002</v>
      </c>
      <c r="P95" s="535">
        <f>CCBASE!$I$9</f>
        <v>39.7111223</v>
      </c>
      <c r="Q95" s="535">
        <f>CCBASE!$H$51</f>
        <v>5.16</v>
      </c>
      <c r="R95" s="535">
        <f>CCBASE!$I$4</f>
        <v>8.3986041999999994</v>
      </c>
      <c r="S95" s="535">
        <f>CCBASE!$I$8</f>
        <v>16.25526</v>
      </c>
      <c r="T95" s="535">
        <f>CCBASE!$I$44</f>
        <v>94.69</v>
      </c>
      <c r="U95" s="535">
        <f>CCBASE!$I$47*2</f>
        <v>28.82</v>
      </c>
      <c r="V95" s="535">
        <f>CCBASE!$I$46*1.5</f>
        <v>3.66</v>
      </c>
      <c r="W95" s="535">
        <f>CCBASE!$I$40*B95/1000</f>
        <v>72.289069999999995</v>
      </c>
      <c r="X95" s="535"/>
      <c r="Y95" s="535"/>
      <c r="Z95" s="535"/>
      <c r="AA95" s="535"/>
      <c r="AB95" s="535"/>
      <c r="AC95" s="535"/>
      <c r="AD95" s="535">
        <f>CCBASE!$I$36*2</f>
        <v>191.630124</v>
      </c>
    </row>
    <row r="96" spans="1:30" x14ac:dyDescent="0.2">
      <c r="A96" s="533" t="s">
        <v>1080</v>
      </c>
      <c r="B96" s="533">
        <v>2000</v>
      </c>
      <c r="C96" s="533">
        <v>1000</v>
      </c>
      <c r="D96" s="533" t="str">
        <f t="shared" si="4"/>
        <v>UVF20001000</v>
      </c>
      <c r="E96" s="907">
        <f t="shared" si="3"/>
        <v>2345.0269848999992</v>
      </c>
      <c r="F96" s="534">
        <v>27.5</v>
      </c>
      <c r="G96" s="535">
        <f>F96*CCBASE!$B$51</f>
        <v>990</v>
      </c>
      <c r="H96" s="535">
        <f>CCBASE!$I$11*B96/1000</f>
        <v>321.98592439999999</v>
      </c>
      <c r="I96" s="535"/>
      <c r="J96" s="535"/>
      <c r="K96" s="535"/>
      <c r="L96" s="535">
        <f>CCBASE!$I$13*B96/1000</f>
        <v>479.07531</v>
      </c>
      <c r="M96" s="535"/>
      <c r="N96" s="535">
        <f>CCBASE!$I$7*B96/1000</f>
        <v>63.084560000000003</v>
      </c>
      <c r="O96" s="535">
        <f>CCBASE!$I$45*B96/1000</f>
        <v>19.940000000000001</v>
      </c>
      <c r="P96" s="535">
        <f>CCBASE!$I$9</f>
        <v>39.7111223</v>
      </c>
      <c r="Q96" s="535">
        <f>CCBASE!$H$51</f>
        <v>5.16</v>
      </c>
      <c r="R96" s="535">
        <f>CCBASE!$I$4</f>
        <v>8.3986041999999994</v>
      </c>
      <c r="S96" s="535">
        <f>CCBASE!$I$8</f>
        <v>16.25526</v>
      </c>
      <c r="T96" s="535">
        <f>CCBASE!$I$44</f>
        <v>94.69</v>
      </c>
      <c r="U96" s="535">
        <f>CCBASE!$I$47*2</f>
        <v>28.82</v>
      </c>
      <c r="V96" s="535">
        <f>CCBASE!$I$46*1.5</f>
        <v>3.66</v>
      </c>
      <c r="W96" s="535">
        <f>CCBASE!$I$40*B96/1000</f>
        <v>82.616079999999997</v>
      </c>
      <c r="X96" s="535"/>
      <c r="Y96" s="535"/>
      <c r="Z96" s="535"/>
      <c r="AA96" s="535"/>
      <c r="AB96" s="535"/>
      <c r="AC96" s="535"/>
      <c r="AD96" s="535">
        <f>CCBASE!$I$36*2</f>
        <v>191.630124</v>
      </c>
    </row>
    <row r="97" spans="1:30" x14ac:dyDescent="0.2">
      <c r="A97" s="533" t="s">
        <v>1080</v>
      </c>
      <c r="B97" s="533">
        <v>2250</v>
      </c>
      <c r="C97" s="533">
        <v>1000</v>
      </c>
      <c r="D97" s="533" t="str">
        <f t="shared" si="4"/>
        <v>UVF22501000</v>
      </c>
      <c r="E97" s="907">
        <f t="shared" si="3"/>
        <v>2537.8647191999999</v>
      </c>
      <c r="F97" s="534">
        <v>29.5</v>
      </c>
      <c r="G97" s="535">
        <f>F97*CCBASE!$B$51</f>
        <v>1062</v>
      </c>
      <c r="H97" s="535">
        <f>CCBASE!$I$11*B97/1000</f>
        <v>362.23416494999998</v>
      </c>
      <c r="I97" s="535"/>
      <c r="J97" s="535"/>
      <c r="K97" s="535"/>
      <c r="L97" s="535">
        <f>CCBASE!$I$13*B97/1000</f>
        <v>538.95972374999997</v>
      </c>
      <c r="M97" s="535"/>
      <c r="N97" s="535">
        <f>CCBASE!$I$7*B97/1000</f>
        <v>70.970130000000012</v>
      </c>
      <c r="O97" s="535">
        <f>CCBASE!$I$45*B97/1000</f>
        <v>22.432500000000001</v>
      </c>
      <c r="P97" s="535">
        <f>CCBASE!$I$9</f>
        <v>39.7111223</v>
      </c>
      <c r="Q97" s="535">
        <f>CCBASE!$H$51</f>
        <v>5.16</v>
      </c>
      <c r="R97" s="535">
        <f>CCBASE!$I$4</f>
        <v>8.3986041999999994</v>
      </c>
      <c r="S97" s="535">
        <f>CCBASE!$I$8</f>
        <v>16.25526</v>
      </c>
      <c r="T97" s="535">
        <f>CCBASE!$I$44</f>
        <v>94.69</v>
      </c>
      <c r="U97" s="535">
        <f>CCBASE!$I$47*2</f>
        <v>28.82</v>
      </c>
      <c r="V97" s="535">
        <f>CCBASE!$I$46*1.5</f>
        <v>3.66</v>
      </c>
      <c r="W97" s="535">
        <f>CCBASE!$I$40*B97/1000</f>
        <v>92.943089999999998</v>
      </c>
      <c r="X97" s="535"/>
      <c r="Y97" s="535"/>
      <c r="Z97" s="535"/>
      <c r="AA97" s="535"/>
      <c r="AB97" s="535"/>
      <c r="AC97" s="535"/>
      <c r="AD97" s="535">
        <f>CCBASE!$I$36*2</f>
        <v>191.630124</v>
      </c>
    </row>
    <row r="98" spans="1:30" x14ac:dyDescent="0.2">
      <c r="A98" s="533" t="s">
        <v>1080</v>
      </c>
      <c r="B98" s="533">
        <v>2500</v>
      </c>
      <c r="C98" s="533">
        <v>1000</v>
      </c>
      <c r="D98" s="533" t="str">
        <f t="shared" si="4"/>
        <v>UVF25001000</v>
      </c>
      <c r="E98" s="907">
        <f t="shared" si="3"/>
        <v>2658.7024535000005</v>
      </c>
      <c r="F98" s="534">
        <v>29.5</v>
      </c>
      <c r="G98" s="535">
        <f>F98*CCBASE!$B$51</f>
        <v>1062</v>
      </c>
      <c r="H98" s="535">
        <f>CCBASE!$I$11*B98/1000</f>
        <v>402.48240549999997</v>
      </c>
      <c r="I98" s="535"/>
      <c r="J98" s="535"/>
      <c r="K98" s="535"/>
      <c r="L98" s="535">
        <f>CCBASE!$I$13*B98/1000</f>
        <v>598.84413749999999</v>
      </c>
      <c r="M98" s="535"/>
      <c r="N98" s="535">
        <f>CCBASE!$I$7*B98/1000</f>
        <v>78.855699999999999</v>
      </c>
      <c r="O98" s="535">
        <f>CCBASE!$I$45*B98/1000</f>
        <v>24.925000000000001</v>
      </c>
      <c r="P98" s="535">
        <f>CCBASE!$I$9</f>
        <v>39.7111223</v>
      </c>
      <c r="Q98" s="535">
        <f>CCBASE!$H$51</f>
        <v>5.16</v>
      </c>
      <c r="R98" s="535">
        <f>CCBASE!$I$4</f>
        <v>8.3986041999999994</v>
      </c>
      <c r="S98" s="535">
        <f>CCBASE!$I$8</f>
        <v>16.25526</v>
      </c>
      <c r="T98" s="535">
        <f>CCBASE!$I$44</f>
        <v>94.69</v>
      </c>
      <c r="U98" s="535">
        <f>CCBASE!$I$47*2</f>
        <v>28.82</v>
      </c>
      <c r="V98" s="535">
        <f>CCBASE!$I$46*1.5</f>
        <v>3.66</v>
      </c>
      <c r="W98" s="535">
        <f>CCBASE!$I$40*B98/1000</f>
        <v>103.27009999999999</v>
      </c>
      <c r="X98" s="535"/>
      <c r="Y98" s="535"/>
      <c r="Z98" s="535"/>
      <c r="AA98" s="535"/>
      <c r="AB98" s="535"/>
      <c r="AC98" s="535"/>
      <c r="AD98" s="535">
        <f>CCBASE!$I$36*2</f>
        <v>191.630124</v>
      </c>
    </row>
    <row r="99" spans="1:30" x14ac:dyDescent="0.2">
      <c r="A99" s="533" t="s">
        <v>1080</v>
      </c>
      <c r="B99" s="533">
        <v>2750</v>
      </c>
      <c r="C99" s="533">
        <v>1000</v>
      </c>
      <c r="D99" s="533" t="str">
        <f t="shared" si="4"/>
        <v>UVF27501000</v>
      </c>
      <c r="E99" s="907">
        <f t="shared" si="3"/>
        <v>2779.5401877999998</v>
      </c>
      <c r="F99" s="534">
        <v>29.5</v>
      </c>
      <c r="G99" s="535">
        <f>F99*CCBASE!$B$51</f>
        <v>1062</v>
      </c>
      <c r="H99" s="535">
        <f>CCBASE!$I$11*B99/1000</f>
        <v>442.73064604999996</v>
      </c>
      <c r="I99" s="535"/>
      <c r="J99" s="535"/>
      <c r="K99" s="535"/>
      <c r="L99" s="535">
        <f>CCBASE!$I$13*B99/1000</f>
        <v>658.72855125000001</v>
      </c>
      <c r="M99" s="535"/>
      <c r="N99" s="535">
        <f>CCBASE!$I$7*B99/1000</f>
        <v>86.74127</v>
      </c>
      <c r="O99" s="535">
        <f>CCBASE!$I$45*B99/1000</f>
        <v>27.4175</v>
      </c>
      <c r="P99" s="535">
        <f>CCBASE!$I$9</f>
        <v>39.7111223</v>
      </c>
      <c r="Q99" s="535">
        <f>CCBASE!$H$51</f>
        <v>5.16</v>
      </c>
      <c r="R99" s="535">
        <f>CCBASE!$I$4</f>
        <v>8.3986041999999994</v>
      </c>
      <c r="S99" s="535">
        <f>CCBASE!$I$8</f>
        <v>16.25526</v>
      </c>
      <c r="T99" s="535">
        <f>CCBASE!$I$44</f>
        <v>94.69</v>
      </c>
      <c r="U99" s="535">
        <f>CCBASE!$I$47*2</f>
        <v>28.82</v>
      </c>
      <c r="V99" s="535">
        <f>CCBASE!$I$46*1.5</f>
        <v>3.66</v>
      </c>
      <c r="W99" s="535">
        <f>CCBASE!$I$40*B99/1000</f>
        <v>113.59711</v>
      </c>
      <c r="X99" s="535"/>
      <c r="Y99" s="535"/>
      <c r="Z99" s="535"/>
      <c r="AA99" s="535"/>
      <c r="AB99" s="535"/>
      <c r="AC99" s="535"/>
      <c r="AD99" s="535">
        <f>CCBASE!$I$36*2</f>
        <v>191.630124</v>
      </c>
    </row>
    <row r="100" spans="1:30" x14ac:dyDescent="0.2">
      <c r="A100" s="533" t="s">
        <v>1080</v>
      </c>
      <c r="B100" s="533">
        <v>3000</v>
      </c>
      <c r="C100" s="533">
        <v>1000</v>
      </c>
      <c r="D100" s="533" t="str">
        <f t="shared" si="4"/>
        <v>UVF30001000</v>
      </c>
      <c r="E100" s="907">
        <f t="shared" si="3"/>
        <v>2900.3779220999995</v>
      </c>
      <c r="F100" s="534">
        <v>29.5</v>
      </c>
      <c r="G100" s="535">
        <f>F100*CCBASE!$B$51</f>
        <v>1062</v>
      </c>
      <c r="H100" s="535">
        <f>CCBASE!$I$11*B100/1000</f>
        <v>482.97888659999995</v>
      </c>
      <c r="I100" s="535"/>
      <c r="J100" s="535"/>
      <c r="K100" s="535"/>
      <c r="L100" s="535">
        <f>CCBASE!$I$13*B100/1000</f>
        <v>718.61296499999992</v>
      </c>
      <c r="M100" s="535"/>
      <c r="N100" s="535">
        <f>CCBASE!$I$7*B100/1000</f>
        <v>94.626840000000016</v>
      </c>
      <c r="O100" s="535">
        <f>CCBASE!$I$45*B100/1000</f>
        <v>29.910000000000004</v>
      </c>
      <c r="P100" s="535">
        <f>CCBASE!$I$9</f>
        <v>39.7111223</v>
      </c>
      <c r="Q100" s="535">
        <f>CCBASE!$H$51</f>
        <v>5.16</v>
      </c>
      <c r="R100" s="535">
        <f>CCBASE!$I$4</f>
        <v>8.3986041999999994</v>
      </c>
      <c r="S100" s="535">
        <f>CCBASE!$I$8</f>
        <v>16.25526</v>
      </c>
      <c r="T100" s="535">
        <f>CCBASE!$I$44</f>
        <v>94.69</v>
      </c>
      <c r="U100" s="535">
        <f>CCBASE!$I$47*2</f>
        <v>28.82</v>
      </c>
      <c r="V100" s="535">
        <f>CCBASE!$I$46*1.5</f>
        <v>3.66</v>
      </c>
      <c r="W100" s="535">
        <f>CCBASE!$I$40*B100/1000</f>
        <v>123.92412</v>
      </c>
      <c r="X100" s="535"/>
      <c r="Y100" s="535"/>
      <c r="Z100" s="535"/>
      <c r="AA100" s="535"/>
      <c r="AB100" s="535"/>
      <c r="AC100" s="535"/>
      <c r="AD100" s="535">
        <f>CCBASE!$I$36*2</f>
        <v>191.630124</v>
      </c>
    </row>
    <row r="101" spans="1:30" x14ac:dyDescent="0.2">
      <c r="A101" s="533" t="s">
        <v>1080</v>
      </c>
      <c r="B101" s="533">
        <v>1000</v>
      </c>
      <c r="C101" s="533">
        <v>1250</v>
      </c>
      <c r="D101" s="533" t="str">
        <f t="shared" si="4"/>
        <v>UVF10001250</v>
      </c>
      <c r="E101" s="907">
        <f t="shared" si="3"/>
        <v>1836.9968474</v>
      </c>
      <c r="F101" s="534">
        <v>27.5</v>
      </c>
      <c r="G101" s="535">
        <f>F101*CCBASE!$B$51</f>
        <v>990</v>
      </c>
      <c r="H101" s="535">
        <f>CCBASE!$I$11*B101/1000</f>
        <v>160.99296219999999</v>
      </c>
      <c r="I101" s="535"/>
      <c r="J101" s="535"/>
      <c r="K101" s="535"/>
      <c r="L101" s="535">
        <f>CCBASE!$I$13*B101/1000</f>
        <v>239.537655</v>
      </c>
      <c r="M101" s="535"/>
      <c r="N101" s="535">
        <f>CCBASE!$I$7*B101/1000</f>
        <v>31.542280000000002</v>
      </c>
      <c r="O101" s="535">
        <f>CCBASE!$I$45*B101/1000</f>
        <v>9.9700000000000006</v>
      </c>
      <c r="P101" s="535">
        <f>CCBASE!$I$10</f>
        <v>30.661922000000001</v>
      </c>
      <c r="Q101" s="535">
        <f>CCBASE!$H$51</f>
        <v>5.16</v>
      </c>
      <c r="R101" s="535">
        <f>CCBASE!$I$4</f>
        <v>8.3986041999999994</v>
      </c>
      <c r="S101" s="535">
        <f>CCBASE!$I$8</f>
        <v>16.25526</v>
      </c>
      <c r="T101" s="535">
        <f>CCBASE!$I$44</f>
        <v>94.69</v>
      </c>
      <c r="U101" s="535">
        <f>CCBASE!$I$47</f>
        <v>14.41</v>
      </c>
      <c r="V101" s="535">
        <f>CCBASE!$I$46</f>
        <v>2.44</v>
      </c>
      <c r="W101" s="535">
        <f>CCBASE!$I$40*B101/1000</f>
        <v>41.308039999999998</v>
      </c>
      <c r="X101" s="535"/>
      <c r="Y101" s="535"/>
      <c r="Z101" s="535"/>
      <c r="AA101" s="535"/>
      <c r="AB101" s="535"/>
      <c r="AC101" s="535"/>
      <c r="AD101" s="535">
        <f>CCBASE!$I$36*2</f>
        <v>191.630124</v>
      </c>
    </row>
    <row r="102" spans="1:30" x14ac:dyDescent="0.2">
      <c r="A102" s="533" t="s">
        <v>1080</v>
      </c>
      <c r="B102" s="533">
        <v>1250</v>
      </c>
      <c r="C102" s="533">
        <v>1250</v>
      </c>
      <c r="D102" s="533" t="str">
        <f t="shared" si="4"/>
        <v>UVF12501250</v>
      </c>
      <c r="E102" s="907">
        <f t="shared" si="3"/>
        <v>1972.2445817000003</v>
      </c>
      <c r="F102" s="534">
        <v>27.5</v>
      </c>
      <c r="G102" s="535">
        <f>F102*CCBASE!$B$51</f>
        <v>990</v>
      </c>
      <c r="H102" s="535">
        <f>CCBASE!$I$11*B102/1000</f>
        <v>201.24120274999999</v>
      </c>
      <c r="I102" s="535"/>
      <c r="J102" s="535"/>
      <c r="K102" s="535"/>
      <c r="L102" s="535">
        <f>CCBASE!$I$13*B102/1000</f>
        <v>299.42206874999999</v>
      </c>
      <c r="M102" s="535"/>
      <c r="N102" s="535">
        <f>CCBASE!$I$7*B102/1000</f>
        <v>39.427849999999999</v>
      </c>
      <c r="O102" s="535">
        <f>CCBASE!$I$45*B102/1000</f>
        <v>12.4625</v>
      </c>
      <c r="P102" s="535">
        <f>CCBASE!$I$10</f>
        <v>30.661922000000001</v>
      </c>
      <c r="Q102" s="535">
        <f>CCBASE!$H$51</f>
        <v>5.16</v>
      </c>
      <c r="R102" s="535">
        <f>CCBASE!$I$4</f>
        <v>8.3986041999999994</v>
      </c>
      <c r="S102" s="535">
        <f>CCBASE!$I$8</f>
        <v>16.25526</v>
      </c>
      <c r="T102" s="535">
        <f>CCBASE!$I$44</f>
        <v>94.69</v>
      </c>
      <c r="U102" s="535">
        <f>CCBASE!$I$47*2</f>
        <v>28.82</v>
      </c>
      <c r="V102" s="535">
        <f>CCBASE!$I$46</f>
        <v>2.44</v>
      </c>
      <c r="W102" s="535">
        <f>CCBASE!$I$40*B102/1000</f>
        <v>51.635049999999993</v>
      </c>
      <c r="X102" s="535"/>
      <c r="Y102" s="535"/>
      <c r="Z102" s="535"/>
      <c r="AA102" s="535"/>
      <c r="AB102" s="535"/>
      <c r="AC102" s="535"/>
      <c r="AD102" s="535">
        <f>CCBASE!$I$36*2</f>
        <v>191.630124</v>
      </c>
    </row>
    <row r="103" spans="1:30" x14ac:dyDescent="0.2">
      <c r="A103" s="533" t="s">
        <v>1080</v>
      </c>
      <c r="B103" s="533">
        <v>1500</v>
      </c>
      <c r="C103" s="533">
        <v>1250</v>
      </c>
      <c r="D103" s="533" t="str">
        <f t="shared" si="4"/>
        <v>UVF15001250</v>
      </c>
      <c r="E103" s="907">
        <f t="shared" si="3"/>
        <v>2093.0823159999995</v>
      </c>
      <c r="F103" s="534">
        <v>27.5</v>
      </c>
      <c r="G103" s="535">
        <f>F103*CCBASE!$B$51</f>
        <v>990</v>
      </c>
      <c r="H103" s="535">
        <f>CCBASE!$I$11*B103/1000</f>
        <v>241.48944329999998</v>
      </c>
      <c r="I103" s="535"/>
      <c r="J103" s="535"/>
      <c r="K103" s="535"/>
      <c r="L103" s="535">
        <f>CCBASE!$I$13*B103/1000</f>
        <v>359.30648249999996</v>
      </c>
      <c r="M103" s="535"/>
      <c r="N103" s="535">
        <f>CCBASE!$I$7*B103/1000</f>
        <v>47.313420000000008</v>
      </c>
      <c r="O103" s="535">
        <f>CCBASE!$I$45*B103/1000</f>
        <v>14.955000000000002</v>
      </c>
      <c r="P103" s="535">
        <f>CCBASE!$I$10</f>
        <v>30.661922000000001</v>
      </c>
      <c r="Q103" s="535">
        <f>CCBASE!$H$51</f>
        <v>5.16</v>
      </c>
      <c r="R103" s="535">
        <f>CCBASE!$I$4</f>
        <v>8.3986041999999994</v>
      </c>
      <c r="S103" s="535">
        <f>CCBASE!$I$8</f>
        <v>16.25526</v>
      </c>
      <c r="T103" s="535">
        <f>CCBASE!$I$44</f>
        <v>94.69</v>
      </c>
      <c r="U103" s="535">
        <f>CCBASE!$I$47*2</f>
        <v>28.82</v>
      </c>
      <c r="V103" s="535">
        <f>CCBASE!$I$46</f>
        <v>2.44</v>
      </c>
      <c r="W103" s="535">
        <f>CCBASE!$I$40*B103/1000</f>
        <v>61.962060000000001</v>
      </c>
      <c r="X103" s="535"/>
      <c r="Y103" s="535"/>
      <c r="Z103" s="535"/>
      <c r="AA103" s="535"/>
      <c r="AB103" s="535"/>
      <c r="AC103" s="535"/>
      <c r="AD103" s="535">
        <f>CCBASE!$I$36*2</f>
        <v>191.630124</v>
      </c>
    </row>
    <row r="104" spans="1:30" x14ac:dyDescent="0.2">
      <c r="A104" s="533" t="s">
        <v>1080</v>
      </c>
      <c r="B104" s="533">
        <v>1750</v>
      </c>
      <c r="C104" s="533">
        <v>1250</v>
      </c>
      <c r="D104" s="533" t="str">
        <f t="shared" si="4"/>
        <v>UVF17501250</v>
      </c>
      <c r="E104" s="907">
        <f t="shared" si="3"/>
        <v>2224.1892505999999</v>
      </c>
      <c r="F104" s="534">
        <v>27.5</v>
      </c>
      <c r="G104" s="535">
        <f>F104*CCBASE!$B$51</f>
        <v>990</v>
      </c>
      <c r="H104" s="535">
        <f>CCBASE!$I$11*B104/1000</f>
        <v>281.73768385</v>
      </c>
      <c r="I104" s="535"/>
      <c r="J104" s="535"/>
      <c r="K104" s="535"/>
      <c r="L104" s="535">
        <f>CCBASE!$I$13*B104/1000</f>
        <v>419.19089624999998</v>
      </c>
      <c r="M104" s="535"/>
      <c r="N104" s="535">
        <f>CCBASE!$I$7*B104/1000</f>
        <v>55.198990000000002</v>
      </c>
      <c r="O104" s="535">
        <f>CCBASE!$I$45*B104/1000</f>
        <v>17.447500000000002</v>
      </c>
      <c r="P104" s="535">
        <f>CCBASE!$I$9</f>
        <v>39.7111223</v>
      </c>
      <c r="Q104" s="535">
        <f>CCBASE!$H$51</f>
        <v>5.16</v>
      </c>
      <c r="R104" s="535">
        <f>CCBASE!$I$4</f>
        <v>8.3986041999999994</v>
      </c>
      <c r="S104" s="535">
        <f>CCBASE!$I$8</f>
        <v>16.25526</v>
      </c>
      <c r="T104" s="535">
        <f>CCBASE!$I$44</f>
        <v>94.69</v>
      </c>
      <c r="U104" s="535">
        <f>CCBASE!$I$47*2</f>
        <v>28.82</v>
      </c>
      <c r="V104" s="535">
        <f>CCBASE!$I$46*1.5</f>
        <v>3.66</v>
      </c>
      <c r="W104" s="535">
        <f>CCBASE!$I$40*B104/1000</f>
        <v>72.289069999999995</v>
      </c>
      <c r="X104" s="535"/>
      <c r="Y104" s="535"/>
      <c r="Z104" s="535"/>
      <c r="AA104" s="535"/>
      <c r="AB104" s="535"/>
      <c r="AC104" s="535"/>
      <c r="AD104" s="535">
        <f>CCBASE!$I$36*2</f>
        <v>191.630124</v>
      </c>
    </row>
    <row r="105" spans="1:30" x14ac:dyDescent="0.2">
      <c r="A105" s="533" t="s">
        <v>1080</v>
      </c>
      <c r="B105" s="533">
        <v>2000</v>
      </c>
      <c r="C105" s="533">
        <v>1250</v>
      </c>
      <c r="D105" s="533" t="str">
        <f t="shared" si="4"/>
        <v>UVF20001250</v>
      </c>
      <c r="E105" s="907">
        <f t="shared" si="3"/>
        <v>2345.0269848999992</v>
      </c>
      <c r="F105" s="534">
        <v>27.5</v>
      </c>
      <c r="G105" s="535">
        <f>F105*CCBASE!$B$51</f>
        <v>990</v>
      </c>
      <c r="H105" s="535">
        <f>CCBASE!$I$11*B105/1000</f>
        <v>321.98592439999999</v>
      </c>
      <c r="I105" s="535"/>
      <c r="J105" s="535"/>
      <c r="K105" s="535"/>
      <c r="L105" s="535">
        <f>CCBASE!$I$13*B105/1000</f>
        <v>479.07531</v>
      </c>
      <c r="M105" s="535"/>
      <c r="N105" s="535">
        <f>CCBASE!$I$7*B105/1000</f>
        <v>63.084560000000003</v>
      </c>
      <c r="O105" s="535">
        <f>CCBASE!$I$45*B105/1000</f>
        <v>19.940000000000001</v>
      </c>
      <c r="P105" s="535">
        <f>CCBASE!$I$9</f>
        <v>39.7111223</v>
      </c>
      <c r="Q105" s="535">
        <f>CCBASE!$H$51</f>
        <v>5.16</v>
      </c>
      <c r="R105" s="535">
        <f>CCBASE!$I$4</f>
        <v>8.3986041999999994</v>
      </c>
      <c r="S105" s="535">
        <f>CCBASE!$I$8</f>
        <v>16.25526</v>
      </c>
      <c r="T105" s="535">
        <f>CCBASE!$I$44</f>
        <v>94.69</v>
      </c>
      <c r="U105" s="535">
        <f>CCBASE!$I$47*2</f>
        <v>28.82</v>
      </c>
      <c r="V105" s="535">
        <f>CCBASE!$I$46*1.5</f>
        <v>3.66</v>
      </c>
      <c r="W105" s="535">
        <f>CCBASE!$I$40*B105/1000</f>
        <v>82.616079999999997</v>
      </c>
      <c r="X105" s="535"/>
      <c r="Y105" s="535"/>
      <c r="Z105" s="535"/>
      <c r="AA105" s="535"/>
      <c r="AB105" s="535"/>
      <c r="AC105" s="535"/>
      <c r="AD105" s="535">
        <f>CCBASE!$I$36*2</f>
        <v>191.630124</v>
      </c>
    </row>
    <row r="106" spans="1:30" x14ac:dyDescent="0.2">
      <c r="A106" s="533" t="s">
        <v>1080</v>
      </c>
      <c r="B106" s="533">
        <v>2250</v>
      </c>
      <c r="C106" s="533">
        <v>1250</v>
      </c>
      <c r="D106" s="533" t="str">
        <f t="shared" si="4"/>
        <v>UVF22501250</v>
      </c>
      <c r="E106" s="907">
        <f t="shared" si="3"/>
        <v>2537.8647191999999</v>
      </c>
      <c r="F106" s="534">
        <v>29.5</v>
      </c>
      <c r="G106" s="535">
        <f>F106*CCBASE!$B$51</f>
        <v>1062</v>
      </c>
      <c r="H106" s="535">
        <f>CCBASE!$I$11*B106/1000</f>
        <v>362.23416494999998</v>
      </c>
      <c r="I106" s="535"/>
      <c r="J106" s="535"/>
      <c r="K106" s="535"/>
      <c r="L106" s="535">
        <f>CCBASE!$I$13*B106/1000</f>
        <v>538.95972374999997</v>
      </c>
      <c r="M106" s="535"/>
      <c r="N106" s="535">
        <f>CCBASE!$I$7*B106/1000</f>
        <v>70.970130000000012</v>
      </c>
      <c r="O106" s="535">
        <f>CCBASE!$I$45*B106/1000</f>
        <v>22.432500000000001</v>
      </c>
      <c r="P106" s="535">
        <f>CCBASE!$I$9</f>
        <v>39.7111223</v>
      </c>
      <c r="Q106" s="535">
        <f>CCBASE!$H$51</f>
        <v>5.16</v>
      </c>
      <c r="R106" s="535">
        <f>CCBASE!$I$4</f>
        <v>8.3986041999999994</v>
      </c>
      <c r="S106" s="535">
        <f>CCBASE!$I$8</f>
        <v>16.25526</v>
      </c>
      <c r="T106" s="535">
        <f>CCBASE!$I$44</f>
        <v>94.69</v>
      </c>
      <c r="U106" s="535">
        <f>CCBASE!$I$47*2</f>
        <v>28.82</v>
      </c>
      <c r="V106" s="535">
        <f>CCBASE!$I$46*1.5</f>
        <v>3.66</v>
      </c>
      <c r="W106" s="535">
        <f>CCBASE!$I$40*B106/1000</f>
        <v>92.943089999999998</v>
      </c>
      <c r="X106" s="535"/>
      <c r="Y106" s="535"/>
      <c r="Z106" s="535"/>
      <c r="AA106" s="535"/>
      <c r="AB106" s="535"/>
      <c r="AC106" s="535"/>
      <c r="AD106" s="535">
        <f>CCBASE!$I$36*2</f>
        <v>191.630124</v>
      </c>
    </row>
    <row r="107" spans="1:30" x14ac:dyDescent="0.2">
      <c r="A107" s="533" t="s">
        <v>1080</v>
      </c>
      <c r="B107" s="533">
        <v>2500</v>
      </c>
      <c r="C107" s="533">
        <v>1250</v>
      </c>
      <c r="D107" s="533" t="str">
        <f t="shared" si="4"/>
        <v>UVF25001250</v>
      </c>
      <c r="E107" s="907">
        <f t="shared" si="3"/>
        <v>2658.7024535000005</v>
      </c>
      <c r="F107" s="534">
        <v>29.5</v>
      </c>
      <c r="G107" s="535">
        <f>F107*CCBASE!$B$51</f>
        <v>1062</v>
      </c>
      <c r="H107" s="535">
        <f>CCBASE!$I$11*B107/1000</f>
        <v>402.48240549999997</v>
      </c>
      <c r="I107" s="535"/>
      <c r="J107" s="535"/>
      <c r="K107" s="535"/>
      <c r="L107" s="535">
        <f>CCBASE!$I$13*B107/1000</f>
        <v>598.84413749999999</v>
      </c>
      <c r="M107" s="535"/>
      <c r="N107" s="535">
        <f>CCBASE!$I$7*B107/1000</f>
        <v>78.855699999999999</v>
      </c>
      <c r="O107" s="535">
        <f>CCBASE!$I$45*B107/1000</f>
        <v>24.925000000000001</v>
      </c>
      <c r="P107" s="535">
        <f>CCBASE!$I$9</f>
        <v>39.7111223</v>
      </c>
      <c r="Q107" s="535">
        <f>CCBASE!$H$51</f>
        <v>5.16</v>
      </c>
      <c r="R107" s="535">
        <f>CCBASE!$I$4</f>
        <v>8.3986041999999994</v>
      </c>
      <c r="S107" s="535">
        <f>CCBASE!$I$8</f>
        <v>16.25526</v>
      </c>
      <c r="T107" s="535">
        <f>CCBASE!$I$44</f>
        <v>94.69</v>
      </c>
      <c r="U107" s="535">
        <f>CCBASE!$I$47*2</f>
        <v>28.82</v>
      </c>
      <c r="V107" s="535">
        <f>CCBASE!$I$46*1.5</f>
        <v>3.66</v>
      </c>
      <c r="W107" s="535">
        <f>CCBASE!$I$40*B107/1000</f>
        <v>103.27009999999999</v>
      </c>
      <c r="X107" s="535"/>
      <c r="Y107" s="535"/>
      <c r="Z107" s="535"/>
      <c r="AA107" s="535"/>
      <c r="AB107" s="535"/>
      <c r="AC107" s="535"/>
      <c r="AD107" s="535">
        <f>CCBASE!$I$36*2</f>
        <v>191.630124</v>
      </c>
    </row>
    <row r="108" spans="1:30" x14ac:dyDescent="0.2">
      <c r="A108" s="533" t="s">
        <v>1080</v>
      </c>
      <c r="B108" s="533">
        <v>2750</v>
      </c>
      <c r="C108" s="533">
        <v>1250</v>
      </c>
      <c r="D108" s="533" t="str">
        <f t="shared" si="4"/>
        <v>UVF27501250</v>
      </c>
      <c r="E108" s="907">
        <f t="shared" si="3"/>
        <v>2779.5401877999998</v>
      </c>
      <c r="F108" s="534">
        <v>29.5</v>
      </c>
      <c r="G108" s="535">
        <f>F108*CCBASE!$B$51</f>
        <v>1062</v>
      </c>
      <c r="H108" s="535">
        <f>CCBASE!$I$11*B108/1000</f>
        <v>442.73064604999996</v>
      </c>
      <c r="I108" s="535"/>
      <c r="J108" s="535"/>
      <c r="K108" s="535"/>
      <c r="L108" s="535">
        <f>CCBASE!$I$13*B108/1000</f>
        <v>658.72855125000001</v>
      </c>
      <c r="M108" s="535"/>
      <c r="N108" s="535">
        <f>CCBASE!$I$7*B108/1000</f>
        <v>86.74127</v>
      </c>
      <c r="O108" s="535">
        <f>CCBASE!$I$45*B108/1000</f>
        <v>27.4175</v>
      </c>
      <c r="P108" s="535">
        <f>CCBASE!$I$9</f>
        <v>39.7111223</v>
      </c>
      <c r="Q108" s="535">
        <f>CCBASE!$H$51</f>
        <v>5.16</v>
      </c>
      <c r="R108" s="535">
        <f>CCBASE!$I$4</f>
        <v>8.3986041999999994</v>
      </c>
      <c r="S108" s="535">
        <f>CCBASE!$I$8</f>
        <v>16.25526</v>
      </c>
      <c r="T108" s="535">
        <f>CCBASE!$I$44</f>
        <v>94.69</v>
      </c>
      <c r="U108" s="535">
        <f>CCBASE!$I$47*2</f>
        <v>28.82</v>
      </c>
      <c r="V108" s="535">
        <f>CCBASE!$I$46*1.5</f>
        <v>3.66</v>
      </c>
      <c r="W108" s="535">
        <f>CCBASE!$I$40*B108/1000</f>
        <v>113.59711</v>
      </c>
      <c r="X108" s="535"/>
      <c r="Y108" s="535"/>
      <c r="Z108" s="535"/>
      <c r="AA108" s="535"/>
      <c r="AB108" s="535"/>
      <c r="AC108" s="535"/>
      <c r="AD108" s="535">
        <f>CCBASE!$I$36*2</f>
        <v>191.630124</v>
      </c>
    </row>
    <row r="109" spans="1:30" x14ac:dyDescent="0.2">
      <c r="A109" s="533" t="s">
        <v>1080</v>
      </c>
      <c r="B109" s="533">
        <v>3000</v>
      </c>
      <c r="C109" s="533">
        <v>1250</v>
      </c>
      <c r="D109" s="533" t="str">
        <f t="shared" si="4"/>
        <v>UVF30001250</v>
      </c>
      <c r="E109" s="907">
        <f t="shared" si="3"/>
        <v>2900.3779220999995</v>
      </c>
      <c r="F109" s="534">
        <v>29.5</v>
      </c>
      <c r="G109" s="535">
        <f>F109*CCBASE!$B$51</f>
        <v>1062</v>
      </c>
      <c r="H109" s="535">
        <f>CCBASE!$I$11*B109/1000</f>
        <v>482.97888659999995</v>
      </c>
      <c r="I109" s="535"/>
      <c r="J109" s="535"/>
      <c r="K109" s="535"/>
      <c r="L109" s="535">
        <f>CCBASE!$I$13*B109/1000</f>
        <v>718.61296499999992</v>
      </c>
      <c r="M109" s="535"/>
      <c r="N109" s="535">
        <f>CCBASE!$I$7*B109/1000</f>
        <v>94.626840000000016</v>
      </c>
      <c r="O109" s="535">
        <f>CCBASE!$I$45*B109/1000</f>
        <v>29.910000000000004</v>
      </c>
      <c r="P109" s="535">
        <f>CCBASE!$I$9</f>
        <v>39.7111223</v>
      </c>
      <c r="Q109" s="535">
        <f>CCBASE!$H$51</f>
        <v>5.16</v>
      </c>
      <c r="R109" s="535">
        <f>CCBASE!$I$4</f>
        <v>8.3986041999999994</v>
      </c>
      <c r="S109" s="535">
        <f>CCBASE!$I$8</f>
        <v>16.25526</v>
      </c>
      <c r="T109" s="535">
        <f>CCBASE!$I$44</f>
        <v>94.69</v>
      </c>
      <c r="U109" s="535">
        <f>CCBASE!$I$47*2</f>
        <v>28.82</v>
      </c>
      <c r="V109" s="535">
        <f>CCBASE!$I$46*1.5</f>
        <v>3.66</v>
      </c>
      <c r="W109" s="535">
        <f>CCBASE!$I$40*B109/1000</f>
        <v>123.92412</v>
      </c>
      <c r="X109" s="535"/>
      <c r="Y109" s="535"/>
      <c r="Z109" s="535"/>
      <c r="AA109" s="535"/>
      <c r="AB109" s="535"/>
      <c r="AC109" s="535"/>
      <c r="AD109" s="535">
        <f>CCBASE!$I$36*2</f>
        <v>191.630124</v>
      </c>
    </row>
    <row r="110" spans="1:30" x14ac:dyDescent="0.2">
      <c r="A110" s="533" t="s">
        <v>1080</v>
      </c>
      <c r="B110" s="533">
        <v>1000</v>
      </c>
      <c r="C110" s="533">
        <v>1500</v>
      </c>
      <c r="D110" s="533" t="str">
        <f t="shared" si="4"/>
        <v>UVF10001500</v>
      </c>
      <c r="E110" s="907">
        <f t="shared" si="3"/>
        <v>1975.2393594</v>
      </c>
      <c r="F110" s="534">
        <v>29.5</v>
      </c>
      <c r="G110" s="535">
        <f>F110*CCBASE!$B$51</f>
        <v>1062</v>
      </c>
      <c r="H110" s="535">
        <f>CCBASE!$I$11*B110/1000</f>
        <v>160.99296219999999</v>
      </c>
      <c r="I110" s="535"/>
      <c r="J110" s="535"/>
      <c r="K110" s="535"/>
      <c r="L110" s="535">
        <f>CCBASE!$I$13*B110/1000</f>
        <v>239.537655</v>
      </c>
      <c r="M110" s="535"/>
      <c r="N110" s="535">
        <f>CCBASE!$I$7*B110/1000</f>
        <v>31.542280000000002</v>
      </c>
      <c r="O110" s="535">
        <f>CCBASE!$I$45*B110/1000</f>
        <v>9.9700000000000006</v>
      </c>
      <c r="P110" s="535">
        <f>CCBASE!$I$10</f>
        <v>30.661922000000001</v>
      </c>
      <c r="Q110" s="535">
        <f>CCBASE!$H$51</f>
        <v>5.16</v>
      </c>
      <c r="R110" s="535">
        <f>CCBASE!$I$4</f>
        <v>8.3986041999999994</v>
      </c>
      <c r="S110" s="535">
        <f>CCBASE!$I$8</f>
        <v>16.25526</v>
      </c>
      <c r="T110" s="535">
        <f>CCBASE!$I$44</f>
        <v>94.69</v>
      </c>
      <c r="U110" s="535">
        <f>CCBASE!$I$47</f>
        <v>14.41</v>
      </c>
      <c r="V110" s="535">
        <f>CCBASE!$I$46</f>
        <v>2.44</v>
      </c>
      <c r="W110" s="535">
        <f>CCBASE!$I$41*B110/1000</f>
        <v>59.051569999999998</v>
      </c>
      <c r="X110" s="535"/>
      <c r="Y110" s="535"/>
      <c r="Z110" s="535"/>
      <c r="AA110" s="535"/>
      <c r="AB110" s="535"/>
      <c r="AC110" s="535"/>
      <c r="AD110" s="535">
        <f>CCBASE!$I$37*2</f>
        <v>240.12910599999998</v>
      </c>
    </row>
    <row r="111" spans="1:30" x14ac:dyDescent="0.2">
      <c r="A111" s="533" t="s">
        <v>1080</v>
      </c>
      <c r="B111" s="533">
        <v>1250</v>
      </c>
      <c r="C111" s="533">
        <v>1500</v>
      </c>
      <c r="D111" s="533" t="str">
        <f t="shared" ref="D111:D136" si="5">A111&amp;B111&amp;C111</f>
        <v>UVF12501500</v>
      </c>
      <c r="E111" s="907">
        <f t="shared" si="3"/>
        <v>2114.9229762</v>
      </c>
      <c r="F111" s="534">
        <v>29.5</v>
      </c>
      <c r="G111" s="535">
        <f>F111*CCBASE!$B$51</f>
        <v>1062</v>
      </c>
      <c r="H111" s="535">
        <f>CCBASE!$I$11*B111/1000</f>
        <v>201.24120274999999</v>
      </c>
      <c r="I111" s="535"/>
      <c r="J111" s="535"/>
      <c r="K111" s="535"/>
      <c r="L111" s="535">
        <f>CCBASE!$I$13*B111/1000</f>
        <v>299.42206874999999</v>
      </c>
      <c r="M111" s="535"/>
      <c r="N111" s="535">
        <f>CCBASE!$I$7*B111/1000</f>
        <v>39.427849999999999</v>
      </c>
      <c r="O111" s="535">
        <f>CCBASE!$I$45*B111/1000</f>
        <v>12.4625</v>
      </c>
      <c r="P111" s="535">
        <f>CCBASE!$I$10</f>
        <v>30.661922000000001</v>
      </c>
      <c r="Q111" s="535">
        <f>CCBASE!$H$51</f>
        <v>5.16</v>
      </c>
      <c r="R111" s="535">
        <f>CCBASE!$I$4</f>
        <v>8.3986041999999994</v>
      </c>
      <c r="S111" s="535">
        <f>CCBASE!$I$8</f>
        <v>16.25526</v>
      </c>
      <c r="T111" s="535">
        <f>CCBASE!$I$44</f>
        <v>94.69</v>
      </c>
      <c r="U111" s="535">
        <f>CCBASE!$I$47*2</f>
        <v>28.82</v>
      </c>
      <c r="V111" s="535">
        <f>CCBASE!$I$46</f>
        <v>2.44</v>
      </c>
      <c r="W111" s="535">
        <f>CCBASE!$I$41*B111/1000</f>
        <v>73.814462499999991</v>
      </c>
      <c r="X111" s="535"/>
      <c r="Y111" s="535"/>
      <c r="Z111" s="535"/>
      <c r="AA111" s="535"/>
      <c r="AB111" s="535"/>
      <c r="AC111" s="535"/>
      <c r="AD111" s="535">
        <f>CCBASE!$I$37*2</f>
        <v>240.12910599999998</v>
      </c>
    </row>
    <row r="112" spans="1:30" x14ac:dyDescent="0.2">
      <c r="A112" s="533" t="s">
        <v>1080</v>
      </c>
      <c r="B112" s="533">
        <v>1500</v>
      </c>
      <c r="C112" s="533">
        <v>1500</v>
      </c>
      <c r="D112" s="533" t="str">
        <f t="shared" si="5"/>
        <v>UVF15001500</v>
      </c>
      <c r="E112" s="907">
        <f t="shared" si="3"/>
        <v>2240.1965929999997</v>
      </c>
      <c r="F112" s="534">
        <v>29.5</v>
      </c>
      <c r="G112" s="535">
        <f>F112*CCBASE!$B$51</f>
        <v>1062</v>
      </c>
      <c r="H112" s="535">
        <f>CCBASE!$I$11*B112/1000</f>
        <v>241.48944329999998</v>
      </c>
      <c r="I112" s="535"/>
      <c r="J112" s="535"/>
      <c r="K112" s="535"/>
      <c r="L112" s="535">
        <f>CCBASE!$I$13*B112/1000</f>
        <v>359.30648249999996</v>
      </c>
      <c r="M112" s="535"/>
      <c r="N112" s="535">
        <f>CCBASE!$I$7*B112/1000</f>
        <v>47.313420000000008</v>
      </c>
      <c r="O112" s="535">
        <f>CCBASE!$I$45*B112/1000</f>
        <v>14.955000000000002</v>
      </c>
      <c r="P112" s="535">
        <f>CCBASE!$I$10</f>
        <v>30.661922000000001</v>
      </c>
      <c r="Q112" s="535">
        <f>CCBASE!$H$51</f>
        <v>5.16</v>
      </c>
      <c r="R112" s="535">
        <f>CCBASE!$I$4</f>
        <v>8.3986041999999994</v>
      </c>
      <c r="S112" s="535">
        <f>CCBASE!$I$8</f>
        <v>16.25526</v>
      </c>
      <c r="T112" s="535">
        <f>CCBASE!$I$44</f>
        <v>94.69</v>
      </c>
      <c r="U112" s="535">
        <f>CCBASE!$I$47*2</f>
        <v>28.82</v>
      </c>
      <c r="V112" s="535">
        <f>CCBASE!$I$46</f>
        <v>2.44</v>
      </c>
      <c r="W112" s="535">
        <f>CCBASE!$I$41*B112/1000</f>
        <v>88.577354999999997</v>
      </c>
      <c r="X112" s="535"/>
      <c r="Y112" s="535"/>
      <c r="Z112" s="535"/>
      <c r="AA112" s="535"/>
      <c r="AB112" s="535"/>
      <c r="AC112" s="535"/>
      <c r="AD112" s="535">
        <f>CCBASE!$I$37*2</f>
        <v>240.12910599999998</v>
      </c>
    </row>
    <row r="113" spans="1:30" x14ac:dyDescent="0.2">
      <c r="A113" s="533" t="s">
        <v>1080</v>
      </c>
      <c r="B113" s="533">
        <v>1750</v>
      </c>
      <c r="C113" s="533">
        <v>1500</v>
      </c>
      <c r="D113" s="533" t="str">
        <f t="shared" si="5"/>
        <v>UVF17501500</v>
      </c>
      <c r="E113" s="907">
        <f t="shared" si="3"/>
        <v>2375.7394100999995</v>
      </c>
      <c r="F113" s="534">
        <v>29.5</v>
      </c>
      <c r="G113" s="535">
        <f>F113*CCBASE!$B$51</f>
        <v>1062</v>
      </c>
      <c r="H113" s="535">
        <f>CCBASE!$I$11*B113/1000</f>
        <v>281.73768385</v>
      </c>
      <c r="I113" s="535"/>
      <c r="J113" s="535"/>
      <c r="K113" s="535"/>
      <c r="L113" s="535">
        <f>CCBASE!$I$13*B113/1000</f>
        <v>419.19089624999998</v>
      </c>
      <c r="M113" s="535"/>
      <c r="N113" s="535">
        <f>CCBASE!$I$7*B113/1000</f>
        <v>55.198990000000002</v>
      </c>
      <c r="O113" s="535">
        <f>CCBASE!$I$45*B113/1000</f>
        <v>17.447500000000002</v>
      </c>
      <c r="P113" s="535">
        <f>CCBASE!$I$9</f>
        <v>39.7111223</v>
      </c>
      <c r="Q113" s="535">
        <f>CCBASE!$H$51</f>
        <v>5.16</v>
      </c>
      <c r="R113" s="535">
        <f>CCBASE!$I$4</f>
        <v>8.3986041999999994</v>
      </c>
      <c r="S113" s="535">
        <f>CCBASE!$I$8</f>
        <v>16.25526</v>
      </c>
      <c r="T113" s="535">
        <f>CCBASE!$I$44</f>
        <v>94.69</v>
      </c>
      <c r="U113" s="535">
        <f>CCBASE!$I$47*2</f>
        <v>28.82</v>
      </c>
      <c r="V113" s="535">
        <f>CCBASE!$I$46*1.5</f>
        <v>3.66</v>
      </c>
      <c r="W113" s="535">
        <f>CCBASE!$I$41*B113/1000</f>
        <v>103.3402475</v>
      </c>
      <c r="X113" s="535"/>
      <c r="Y113" s="535"/>
      <c r="Z113" s="535"/>
      <c r="AA113" s="535"/>
      <c r="AB113" s="535"/>
      <c r="AC113" s="535"/>
      <c r="AD113" s="535">
        <f>CCBASE!$I$37*2</f>
        <v>240.12910599999998</v>
      </c>
    </row>
    <row r="114" spans="1:30" x14ac:dyDescent="0.2">
      <c r="A114" s="533" t="s">
        <v>1080</v>
      </c>
      <c r="B114" s="533">
        <v>2000</v>
      </c>
      <c r="C114" s="533">
        <v>1500</v>
      </c>
      <c r="D114" s="533" t="str">
        <f t="shared" si="5"/>
        <v>UVF20001500</v>
      </c>
      <c r="E114" s="907">
        <f t="shared" si="3"/>
        <v>2501.0130268999997</v>
      </c>
      <c r="F114" s="534">
        <v>29.5</v>
      </c>
      <c r="G114" s="535">
        <f>F114*CCBASE!$B$51</f>
        <v>1062</v>
      </c>
      <c r="H114" s="535">
        <f>CCBASE!$I$11*B114/1000</f>
        <v>321.98592439999999</v>
      </c>
      <c r="I114" s="535"/>
      <c r="J114" s="535"/>
      <c r="K114" s="535"/>
      <c r="L114" s="535">
        <f>CCBASE!$I$13*B114/1000</f>
        <v>479.07531</v>
      </c>
      <c r="M114" s="535"/>
      <c r="N114" s="535">
        <f>CCBASE!$I$7*B114/1000</f>
        <v>63.084560000000003</v>
      </c>
      <c r="O114" s="535">
        <f>CCBASE!$I$45*B114/1000</f>
        <v>19.940000000000001</v>
      </c>
      <c r="P114" s="535">
        <f>CCBASE!$I$9</f>
        <v>39.7111223</v>
      </c>
      <c r="Q114" s="535">
        <f>CCBASE!$H$51</f>
        <v>5.16</v>
      </c>
      <c r="R114" s="535">
        <f>CCBASE!$I$4</f>
        <v>8.3986041999999994</v>
      </c>
      <c r="S114" s="535">
        <f>CCBASE!$I$8</f>
        <v>16.25526</v>
      </c>
      <c r="T114" s="535">
        <f>CCBASE!$I$44</f>
        <v>94.69</v>
      </c>
      <c r="U114" s="535">
        <f>CCBASE!$I$47*2</f>
        <v>28.82</v>
      </c>
      <c r="V114" s="535">
        <f>CCBASE!$I$46*1.5</f>
        <v>3.66</v>
      </c>
      <c r="W114" s="535">
        <f>CCBASE!$I$41*B114/1000</f>
        <v>118.10314</v>
      </c>
      <c r="X114" s="535"/>
      <c r="Y114" s="535"/>
      <c r="Z114" s="535"/>
      <c r="AA114" s="535"/>
      <c r="AB114" s="535"/>
      <c r="AC114" s="535"/>
      <c r="AD114" s="535">
        <f>CCBASE!$I$37*2</f>
        <v>240.12910599999998</v>
      </c>
    </row>
    <row r="115" spans="1:30" x14ac:dyDescent="0.2">
      <c r="A115" s="533" t="s">
        <v>1080</v>
      </c>
      <c r="B115" s="533">
        <v>2250</v>
      </c>
      <c r="C115" s="533">
        <v>1500</v>
      </c>
      <c r="D115" s="533" t="str">
        <f t="shared" si="5"/>
        <v>UVF22501500</v>
      </c>
      <c r="E115" s="907">
        <f t="shared" si="3"/>
        <v>2662.2866436999998</v>
      </c>
      <c r="F115" s="534">
        <v>30.5</v>
      </c>
      <c r="G115" s="535">
        <f>F115*CCBASE!$B$51</f>
        <v>1098</v>
      </c>
      <c r="H115" s="535">
        <f>CCBASE!$I$11*B115/1000</f>
        <v>362.23416494999998</v>
      </c>
      <c r="I115" s="535"/>
      <c r="J115" s="535"/>
      <c r="K115" s="535"/>
      <c r="L115" s="535">
        <f>CCBASE!$I$13*B115/1000</f>
        <v>538.95972374999997</v>
      </c>
      <c r="M115" s="535"/>
      <c r="N115" s="535">
        <f>CCBASE!$I$7*B115/1000</f>
        <v>70.970130000000012</v>
      </c>
      <c r="O115" s="535">
        <f>CCBASE!$I$45*B115/1000</f>
        <v>22.432500000000001</v>
      </c>
      <c r="P115" s="535">
        <f>CCBASE!$I$9</f>
        <v>39.7111223</v>
      </c>
      <c r="Q115" s="535">
        <f>CCBASE!$H$51</f>
        <v>5.16</v>
      </c>
      <c r="R115" s="535">
        <f>CCBASE!$I$4</f>
        <v>8.3986041999999994</v>
      </c>
      <c r="S115" s="535">
        <f>CCBASE!$I$8</f>
        <v>16.25526</v>
      </c>
      <c r="T115" s="535">
        <f>CCBASE!$I$44</f>
        <v>94.69</v>
      </c>
      <c r="U115" s="535">
        <f>CCBASE!$I$47*2</f>
        <v>28.82</v>
      </c>
      <c r="V115" s="535">
        <f>CCBASE!$I$46*1.5</f>
        <v>3.66</v>
      </c>
      <c r="W115" s="535">
        <f>CCBASE!$I$41*B115/1000</f>
        <v>132.86603249999999</v>
      </c>
      <c r="X115" s="535"/>
      <c r="Y115" s="535"/>
      <c r="Z115" s="535"/>
      <c r="AA115" s="535"/>
      <c r="AB115" s="535"/>
      <c r="AC115" s="535"/>
      <c r="AD115" s="535">
        <f>CCBASE!$I$37*2</f>
        <v>240.12910599999998</v>
      </c>
    </row>
    <row r="116" spans="1:30" x14ac:dyDescent="0.2">
      <c r="A116" s="533" t="s">
        <v>1080</v>
      </c>
      <c r="B116" s="533">
        <v>2500</v>
      </c>
      <c r="C116" s="533">
        <v>1500</v>
      </c>
      <c r="D116" s="533" t="str">
        <f t="shared" si="5"/>
        <v>UVF25001500</v>
      </c>
      <c r="E116" s="907">
        <f t="shared" si="3"/>
        <v>2787.5602605000004</v>
      </c>
      <c r="F116" s="534">
        <v>30.5</v>
      </c>
      <c r="G116" s="535">
        <f>F116*CCBASE!$B$51</f>
        <v>1098</v>
      </c>
      <c r="H116" s="535">
        <f>CCBASE!$I$11*B116/1000</f>
        <v>402.48240549999997</v>
      </c>
      <c r="I116" s="535"/>
      <c r="J116" s="535"/>
      <c r="K116" s="535"/>
      <c r="L116" s="535">
        <f>CCBASE!$I$13*B116/1000</f>
        <v>598.84413749999999</v>
      </c>
      <c r="M116" s="535"/>
      <c r="N116" s="535">
        <f>CCBASE!$I$7*B116/1000</f>
        <v>78.855699999999999</v>
      </c>
      <c r="O116" s="535">
        <f>CCBASE!$I$45*B116/1000</f>
        <v>24.925000000000001</v>
      </c>
      <c r="P116" s="535">
        <f>CCBASE!$I$9</f>
        <v>39.7111223</v>
      </c>
      <c r="Q116" s="535">
        <f>CCBASE!$H$51</f>
        <v>5.16</v>
      </c>
      <c r="R116" s="535">
        <f>CCBASE!$I$4</f>
        <v>8.3986041999999994</v>
      </c>
      <c r="S116" s="535">
        <f>CCBASE!$I$8</f>
        <v>16.25526</v>
      </c>
      <c r="T116" s="535">
        <f>CCBASE!$I$44</f>
        <v>94.69</v>
      </c>
      <c r="U116" s="535">
        <f>CCBASE!$I$47*2</f>
        <v>28.82</v>
      </c>
      <c r="V116" s="535">
        <f>CCBASE!$I$46*1.5</f>
        <v>3.66</v>
      </c>
      <c r="W116" s="535">
        <f>CCBASE!$I$41*B116/1000</f>
        <v>147.62892499999998</v>
      </c>
      <c r="X116" s="535"/>
      <c r="Y116" s="535"/>
      <c r="Z116" s="535"/>
      <c r="AA116" s="535"/>
      <c r="AB116" s="535"/>
      <c r="AC116" s="535"/>
      <c r="AD116" s="535">
        <f>CCBASE!$I$37*2</f>
        <v>240.12910599999998</v>
      </c>
    </row>
    <row r="117" spans="1:30" x14ac:dyDescent="0.2">
      <c r="A117" s="533" t="s">
        <v>1080</v>
      </c>
      <c r="B117" s="533">
        <v>2750</v>
      </c>
      <c r="C117" s="533">
        <v>1500</v>
      </c>
      <c r="D117" s="533" t="str">
        <f t="shared" si="5"/>
        <v>UVF27501500</v>
      </c>
      <c r="E117" s="907">
        <f t="shared" si="3"/>
        <v>2912.8338772999996</v>
      </c>
      <c r="F117" s="534">
        <v>30.5</v>
      </c>
      <c r="G117" s="535">
        <f>F117*CCBASE!$B$51</f>
        <v>1098</v>
      </c>
      <c r="H117" s="535">
        <f>CCBASE!$I$11*B117/1000</f>
        <v>442.73064604999996</v>
      </c>
      <c r="I117" s="535"/>
      <c r="J117" s="535"/>
      <c r="K117" s="535"/>
      <c r="L117" s="535">
        <f>CCBASE!$I$13*B117/1000</f>
        <v>658.72855125000001</v>
      </c>
      <c r="M117" s="535"/>
      <c r="N117" s="535">
        <f>CCBASE!$I$7*B117/1000</f>
        <v>86.74127</v>
      </c>
      <c r="O117" s="535">
        <f>CCBASE!$I$45*B117/1000</f>
        <v>27.4175</v>
      </c>
      <c r="P117" s="535">
        <f>CCBASE!$I$9</f>
        <v>39.7111223</v>
      </c>
      <c r="Q117" s="535">
        <f>CCBASE!$H$51</f>
        <v>5.16</v>
      </c>
      <c r="R117" s="535">
        <f>CCBASE!$I$4</f>
        <v>8.3986041999999994</v>
      </c>
      <c r="S117" s="535">
        <f>CCBASE!$I$8</f>
        <v>16.25526</v>
      </c>
      <c r="T117" s="535">
        <f>CCBASE!$I$44</f>
        <v>94.69</v>
      </c>
      <c r="U117" s="535">
        <f>CCBASE!$I$47*2</f>
        <v>28.82</v>
      </c>
      <c r="V117" s="535">
        <f>CCBASE!$I$46*1.5</f>
        <v>3.66</v>
      </c>
      <c r="W117" s="535">
        <f>CCBASE!$I$41*B117/1000</f>
        <v>162.3918175</v>
      </c>
      <c r="X117" s="535"/>
      <c r="Y117" s="535"/>
      <c r="Z117" s="535"/>
      <c r="AA117" s="535"/>
      <c r="AB117" s="535"/>
      <c r="AC117" s="535"/>
      <c r="AD117" s="535">
        <f>CCBASE!$I$37*2</f>
        <v>240.12910599999998</v>
      </c>
    </row>
    <row r="118" spans="1:30" x14ac:dyDescent="0.2">
      <c r="A118" s="533" t="s">
        <v>1080</v>
      </c>
      <c r="B118" s="533">
        <v>3000</v>
      </c>
      <c r="C118" s="533">
        <v>1500</v>
      </c>
      <c r="D118" s="533" t="str">
        <f t="shared" si="5"/>
        <v>UVF30001500</v>
      </c>
      <c r="E118" s="907">
        <f t="shared" si="3"/>
        <v>3038.1074940999993</v>
      </c>
      <c r="F118" s="534">
        <v>30.5</v>
      </c>
      <c r="G118" s="535">
        <f>F118*CCBASE!$B$51</f>
        <v>1098</v>
      </c>
      <c r="H118" s="535">
        <f>CCBASE!$I$11*B118/1000</f>
        <v>482.97888659999995</v>
      </c>
      <c r="I118" s="535"/>
      <c r="J118" s="535"/>
      <c r="K118" s="535"/>
      <c r="L118" s="535">
        <f>CCBASE!$I$13*B118/1000</f>
        <v>718.61296499999992</v>
      </c>
      <c r="M118" s="535"/>
      <c r="N118" s="535">
        <f>CCBASE!$I$7*B118/1000</f>
        <v>94.626840000000016</v>
      </c>
      <c r="O118" s="535">
        <f>CCBASE!$I$45*B118/1000</f>
        <v>29.910000000000004</v>
      </c>
      <c r="P118" s="535">
        <f>CCBASE!$I$9</f>
        <v>39.7111223</v>
      </c>
      <c r="Q118" s="535">
        <f>CCBASE!$H$51</f>
        <v>5.16</v>
      </c>
      <c r="R118" s="535">
        <f>CCBASE!$I$4</f>
        <v>8.3986041999999994</v>
      </c>
      <c r="S118" s="535">
        <f>CCBASE!$I$8</f>
        <v>16.25526</v>
      </c>
      <c r="T118" s="535">
        <f>CCBASE!$I$44</f>
        <v>94.69</v>
      </c>
      <c r="U118" s="535">
        <f>CCBASE!$I$47*2</f>
        <v>28.82</v>
      </c>
      <c r="V118" s="535">
        <f>CCBASE!$I$46*1.5</f>
        <v>3.66</v>
      </c>
      <c r="W118" s="535">
        <f>CCBASE!$I$41*B118/1000</f>
        <v>177.15470999999999</v>
      </c>
      <c r="X118" s="535"/>
      <c r="Y118" s="535"/>
      <c r="Z118" s="535"/>
      <c r="AA118" s="535"/>
      <c r="AB118" s="535"/>
      <c r="AC118" s="535"/>
      <c r="AD118" s="535">
        <f>CCBASE!$I$37*2</f>
        <v>240.12910599999998</v>
      </c>
    </row>
    <row r="119" spans="1:30" x14ac:dyDescent="0.2">
      <c r="A119" s="533" t="s">
        <v>1080</v>
      </c>
      <c r="B119" s="533">
        <v>1000</v>
      </c>
      <c r="C119" s="533">
        <v>1750</v>
      </c>
      <c r="D119" s="533" t="str">
        <f t="shared" si="5"/>
        <v>UVF10001750</v>
      </c>
      <c r="E119" s="907">
        <f t="shared" si="3"/>
        <v>2019.0067334</v>
      </c>
      <c r="F119" s="534">
        <v>29.5</v>
      </c>
      <c r="G119" s="535">
        <f>F119*CCBASE!$B$51</f>
        <v>1062</v>
      </c>
      <c r="H119" s="535">
        <f>CCBASE!$I$11*B119/1000</f>
        <v>160.99296219999999</v>
      </c>
      <c r="I119" s="535"/>
      <c r="J119" s="535"/>
      <c r="K119" s="535"/>
      <c r="L119" s="535">
        <f>CCBASE!$I$13*B119/1000</f>
        <v>239.537655</v>
      </c>
      <c r="M119" s="535"/>
      <c r="N119" s="535">
        <f>CCBASE!$I$7*B119/1000</f>
        <v>31.542280000000002</v>
      </c>
      <c r="O119" s="535">
        <f>CCBASE!$I$45*B119/1000</f>
        <v>9.9700000000000006</v>
      </c>
      <c r="P119" s="535">
        <f>CCBASE!$I$10</f>
        <v>30.661922000000001</v>
      </c>
      <c r="Q119" s="535">
        <f>CCBASE!$H$51</f>
        <v>5.16</v>
      </c>
      <c r="R119" s="535">
        <f>CCBASE!$I$4</f>
        <v>8.3986041999999994</v>
      </c>
      <c r="S119" s="535">
        <f>CCBASE!$I$8</f>
        <v>16.25526</v>
      </c>
      <c r="T119" s="535">
        <f>CCBASE!$I$44</f>
        <v>94.69</v>
      </c>
      <c r="U119" s="535">
        <f>CCBASE!$I$47</f>
        <v>14.41</v>
      </c>
      <c r="V119" s="535">
        <f>CCBASE!$I$46</f>
        <v>2.44</v>
      </c>
      <c r="W119" s="535">
        <f>CCBASE!$I$42*B119/1000</f>
        <v>70.880589999999998</v>
      </c>
      <c r="X119" s="535"/>
      <c r="Y119" s="535"/>
      <c r="Z119" s="535"/>
      <c r="AA119" s="535"/>
      <c r="AB119" s="535"/>
      <c r="AC119" s="535"/>
      <c r="AD119" s="535">
        <f>CCBASE!$I$38*2</f>
        <v>272.06745999999998</v>
      </c>
    </row>
    <row r="120" spans="1:30" x14ac:dyDescent="0.2">
      <c r="A120" s="533" t="s">
        <v>1080</v>
      </c>
      <c r="B120" s="533">
        <v>1250</v>
      </c>
      <c r="C120" s="533">
        <v>1750</v>
      </c>
      <c r="D120" s="533" t="str">
        <f t="shared" si="5"/>
        <v>UVF12501750</v>
      </c>
      <c r="E120" s="907">
        <f t="shared" si="3"/>
        <v>2161.6476051999998</v>
      </c>
      <c r="F120" s="534">
        <v>29.5</v>
      </c>
      <c r="G120" s="535">
        <f>F120*CCBASE!$B$51</f>
        <v>1062</v>
      </c>
      <c r="H120" s="535">
        <f>CCBASE!$I$11*B120/1000</f>
        <v>201.24120274999999</v>
      </c>
      <c r="I120" s="535"/>
      <c r="J120" s="535"/>
      <c r="K120" s="535"/>
      <c r="L120" s="535">
        <f>CCBASE!$I$13*B120/1000</f>
        <v>299.42206874999999</v>
      </c>
      <c r="M120" s="535"/>
      <c r="N120" s="535">
        <f>CCBASE!$I$7*B120/1000</f>
        <v>39.427849999999999</v>
      </c>
      <c r="O120" s="535">
        <f>CCBASE!$I$45*B120/1000</f>
        <v>12.4625</v>
      </c>
      <c r="P120" s="535">
        <f>CCBASE!$I$10</f>
        <v>30.661922000000001</v>
      </c>
      <c r="Q120" s="535">
        <f>CCBASE!$H$51</f>
        <v>5.16</v>
      </c>
      <c r="R120" s="535">
        <f>CCBASE!$I$4</f>
        <v>8.3986041999999994</v>
      </c>
      <c r="S120" s="535">
        <f>CCBASE!$I$8</f>
        <v>16.25526</v>
      </c>
      <c r="T120" s="535">
        <f>CCBASE!$I$44</f>
        <v>94.69</v>
      </c>
      <c r="U120" s="535">
        <f>CCBASE!$I$47*2</f>
        <v>28.82</v>
      </c>
      <c r="V120" s="535">
        <f>CCBASE!$I$46</f>
        <v>2.44</v>
      </c>
      <c r="W120" s="535">
        <f>CCBASE!$I$42*B120/1000</f>
        <v>88.600737500000008</v>
      </c>
      <c r="X120" s="535"/>
      <c r="Y120" s="535"/>
      <c r="Z120" s="535"/>
      <c r="AA120" s="535"/>
      <c r="AB120" s="535"/>
      <c r="AC120" s="535"/>
      <c r="AD120" s="535">
        <f>CCBASE!$I$38*2</f>
        <v>272.06745999999998</v>
      </c>
    </row>
    <row r="121" spans="1:30" x14ac:dyDescent="0.2">
      <c r="A121" s="533" t="s">
        <v>1080</v>
      </c>
      <c r="B121" s="533">
        <v>1500</v>
      </c>
      <c r="C121" s="533">
        <v>1750</v>
      </c>
      <c r="D121" s="533" t="str">
        <f t="shared" si="5"/>
        <v>UVF15001750</v>
      </c>
      <c r="E121" s="907">
        <f t="shared" si="3"/>
        <v>2289.8784769999997</v>
      </c>
      <c r="F121" s="534">
        <v>29.5</v>
      </c>
      <c r="G121" s="535">
        <f>F121*CCBASE!$B$51</f>
        <v>1062</v>
      </c>
      <c r="H121" s="535">
        <f>CCBASE!$I$11*B121/1000</f>
        <v>241.48944329999998</v>
      </c>
      <c r="I121" s="535"/>
      <c r="J121" s="535"/>
      <c r="K121" s="535"/>
      <c r="L121" s="535">
        <f>CCBASE!$I$13*B121/1000</f>
        <v>359.30648249999996</v>
      </c>
      <c r="M121" s="535"/>
      <c r="N121" s="535">
        <f>CCBASE!$I$7*B121/1000</f>
        <v>47.313420000000008</v>
      </c>
      <c r="O121" s="535">
        <f>CCBASE!$I$45*B121/1000</f>
        <v>14.955000000000002</v>
      </c>
      <c r="P121" s="535">
        <f>CCBASE!$I$10</f>
        <v>30.661922000000001</v>
      </c>
      <c r="Q121" s="535">
        <f>CCBASE!$H$51</f>
        <v>5.16</v>
      </c>
      <c r="R121" s="535">
        <f>CCBASE!$I$4</f>
        <v>8.3986041999999994</v>
      </c>
      <c r="S121" s="535">
        <f>CCBASE!$I$8</f>
        <v>16.25526</v>
      </c>
      <c r="T121" s="535">
        <f>CCBASE!$I$44</f>
        <v>94.69</v>
      </c>
      <c r="U121" s="535">
        <f>CCBASE!$I$47*2</f>
        <v>28.82</v>
      </c>
      <c r="V121" s="535">
        <f>CCBASE!$I$46</f>
        <v>2.44</v>
      </c>
      <c r="W121" s="535">
        <f>CCBASE!$I$42*B121/1000</f>
        <v>106.32088499999999</v>
      </c>
      <c r="X121" s="535"/>
      <c r="Y121" s="535"/>
      <c r="Z121" s="535"/>
      <c r="AA121" s="535"/>
      <c r="AB121" s="535"/>
      <c r="AC121" s="535"/>
      <c r="AD121" s="535">
        <f>CCBASE!$I$38*2</f>
        <v>272.06745999999998</v>
      </c>
    </row>
    <row r="122" spans="1:30" x14ac:dyDescent="0.2">
      <c r="A122" s="533" t="s">
        <v>1080</v>
      </c>
      <c r="B122" s="533">
        <v>1750</v>
      </c>
      <c r="C122" s="533">
        <v>1750</v>
      </c>
      <c r="D122" s="533" t="str">
        <f t="shared" si="5"/>
        <v>UVF17501750</v>
      </c>
      <c r="E122" s="907">
        <f t="shared" si="3"/>
        <v>2428.3785490999999</v>
      </c>
      <c r="F122" s="534">
        <v>29.5</v>
      </c>
      <c r="G122" s="535">
        <f>F122*CCBASE!$B$51</f>
        <v>1062</v>
      </c>
      <c r="H122" s="535">
        <f>CCBASE!$I$11*B122/1000</f>
        <v>281.73768385</v>
      </c>
      <c r="I122" s="535"/>
      <c r="J122" s="535"/>
      <c r="K122" s="535"/>
      <c r="L122" s="535">
        <f>CCBASE!$I$13*B122/1000</f>
        <v>419.19089624999998</v>
      </c>
      <c r="M122" s="535"/>
      <c r="N122" s="535">
        <f>CCBASE!$I$7*B122/1000</f>
        <v>55.198990000000002</v>
      </c>
      <c r="O122" s="535">
        <f>CCBASE!$I$45*B122/1000</f>
        <v>17.447500000000002</v>
      </c>
      <c r="P122" s="535">
        <f>CCBASE!$I$9</f>
        <v>39.7111223</v>
      </c>
      <c r="Q122" s="535">
        <f>CCBASE!$H$51</f>
        <v>5.16</v>
      </c>
      <c r="R122" s="535">
        <f>CCBASE!$I$4</f>
        <v>8.3986041999999994</v>
      </c>
      <c r="S122" s="535">
        <f>CCBASE!$I$8</f>
        <v>16.25526</v>
      </c>
      <c r="T122" s="535">
        <f>CCBASE!$I$44</f>
        <v>94.69</v>
      </c>
      <c r="U122" s="535">
        <f>CCBASE!$I$47*2</f>
        <v>28.82</v>
      </c>
      <c r="V122" s="535">
        <f>CCBASE!$I$46*1.5</f>
        <v>3.66</v>
      </c>
      <c r="W122" s="535">
        <f>CCBASE!$I$42*B122/1000</f>
        <v>124.0410325</v>
      </c>
      <c r="X122" s="535"/>
      <c r="Y122" s="535"/>
      <c r="Z122" s="535"/>
      <c r="AA122" s="535"/>
      <c r="AB122" s="535"/>
      <c r="AC122" s="535"/>
      <c r="AD122" s="535">
        <f>CCBASE!$I$38*2</f>
        <v>272.06745999999998</v>
      </c>
    </row>
    <row r="123" spans="1:30" x14ac:dyDescent="0.2">
      <c r="A123" s="533" t="s">
        <v>1080</v>
      </c>
      <c r="B123" s="533">
        <v>2000</v>
      </c>
      <c r="C123" s="533">
        <v>1750</v>
      </c>
      <c r="D123" s="533" t="str">
        <f t="shared" si="5"/>
        <v>UVF20001750</v>
      </c>
      <c r="E123" s="907">
        <f t="shared" si="3"/>
        <v>2556.6094208999993</v>
      </c>
      <c r="F123" s="534">
        <v>29.5</v>
      </c>
      <c r="G123" s="535">
        <f>F123*CCBASE!$B$51</f>
        <v>1062</v>
      </c>
      <c r="H123" s="535">
        <f>CCBASE!$I$11*B123/1000</f>
        <v>321.98592439999999</v>
      </c>
      <c r="I123" s="535"/>
      <c r="J123" s="535"/>
      <c r="K123" s="535"/>
      <c r="L123" s="535">
        <f>CCBASE!$I$13*B123/1000</f>
        <v>479.07531</v>
      </c>
      <c r="M123" s="535"/>
      <c r="N123" s="535">
        <f>CCBASE!$I$7*B123/1000</f>
        <v>63.084560000000003</v>
      </c>
      <c r="O123" s="535">
        <f>CCBASE!$I$45*B123/1000</f>
        <v>19.940000000000001</v>
      </c>
      <c r="P123" s="535">
        <f>CCBASE!$I$9</f>
        <v>39.7111223</v>
      </c>
      <c r="Q123" s="535">
        <f>CCBASE!$H$51</f>
        <v>5.16</v>
      </c>
      <c r="R123" s="535">
        <f>CCBASE!$I$4</f>
        <v>8.3986041999999994</v>
      </c>
      <c r="S123" s="535">
        <f>CCBASE!$I$8</f>
        <v>16.25526</v>
      </c>
      <c r="T123" s="535">
        <f>CCBASE!$I$44</f>
        <v>94.69</v>
      </c>
      <c r="U123" s="535">
        <f>CCBASE!$I$47*2</f>
        <v>28.82</v>
      </c>
      <c r="V123" s="535">
        <f>CCBASE!$I$46*1.5</f>
        <v>3.66</v>
      </c>
      <c r="W123" s="535">
        <f>CCBASE!$I$42*B123/1000</f>
        <v>141.76118</v>
      </c>
      <c r="X123" s="535"/>
      <c r="Y123" s="535"/>
      <c r="Z123" s="535"/>
      <c r="AA123" s="535"/>
      <c r="AB123" s="535"/>
      <c r="AC123" s="535"/>
      <c r="AD123" s="535">
        <f>CCBASE!$I$38*2</f>
        <v>272.06745999999998</v>
      </c>
    </row>
    <row r="124" spans="1:30" x14ac:dyDescent="0.2">
      <c r="A124" s="533" t="s">
        <v>1080</v>
      </c>
      <c r="B124" s="533">
        <v>2250</v>
      </c>
      <c r="C124" s="533">
        <v>1750</v>
      </c>
      <c r="D124" s="533" t="str">
        <f t="shared" si="5"/>
        <v>UVF22501750</v>
      </c>
      <c r="E124" s="907">
        <f t="shared" si="3"/>
        <v>2720.8402926999997</v>
      </c>
      <c r="F124" s="534">
        <v>30.5</v>
      </c>
      <c r="G124" s="535">
        <f>F124*CCBASE!$B$51</f>
        <v>1098</v>
      </c>
      <c r="H124" s="535">
        <f>CCBASE!$I$11*B124/1000</f>
        <v>362.23416494999998</v>
      </c>
      <c r="I124" s="535"/>
      <c r="J124" s="535"/>
      <c r="K124" s="535"/>
      <c r="L124" s="535">
        <f>CCBASE!$I$13*B124/1000</f>
        <v>538.95972374999997</v>
      </c>
      <c r="M124" s="535"/>
      <c r="N124" s="535">
        <f>CCBASE!$I$7*B124/1000</f>
        <v>70.970130000000012</v>
      </c>
      <c r="O124" s="535">
        <f>CCBASE!$I$45*B124/1000</f>
        <v>22.432500000000001</v>
      </c>
      <c r="P124" s="535">
        <f>CCBASE!$I$9</f>
        <v>39.7111223</v>
      </c>
      <c r="Q124" s="535">
        <f>CCBASE!$H$51</f>
        <v>5.16</v>
      </c>
      <c r="R124" s="535">
        <f>CCBASE!$I$4</f>
        <v>8.3986041999999994</v>
      </c>
      <c r="S124" s="535">
        <f>CCBASE!$I$8</f>
        <v>16.25526</v>
      </c>
      <c r="T124" s="535">
        <f>CCBASE!$I$44</f>
        <v>94.69</v>
      </c>
      <c r="U124" s="535">
        <f>CCBASE!$I$47*2</f>
        <v>28.82</v>
      </c>
      <c r="V124" s="535">
        <f>CCBASE!$I$46*1.5</f>
        <v>3.66</v>
      </c>
      <c r="W124" s="535">
        <f>CCBASE!$I$42*B124/1000</f>
        <v>159.48132749999999</v>
      </c>
      <c r="X124" s="535"/>
      <c r="Y124" s="535"/>
      <c r="Z124" s="535"/>
      <c r="AA124" s="535"/>
      <c r="AB124" s="535"/>
      <c r="AC124" s="535"/>
      <c r="AD124" s="535">
        <f>CCBASE!$I$38*2</f>
        <v>272.06745999999998</v>
      </c>
    </row>
    <row r="125" spans="1:30" x14ac:dyDescent="0.2">
      <c r="A125" s="533" t="s">
        <v>1080</v>
      </c>
      <c r="B125" s="533">
        <v>2500</v>
      </c>
      <c r="C125" s="533">
        <v>1750</v>
      </c>
      <c r="D125" s="533" t="str">
        <f t="shared" si="5"/>
        <v>UVF25001750</v>
      </c>
      <c r="E125" s="907">
        <f t="shared" si="3"/>
        <v>2849.0711645000001</v>
      </c>
      <c r="F125" s="534">
        <v>30.5</v>
      </c>
      <c r="G125" s="535">
        <f>F125*CCBASE!$B$51</f>
        <v>1098</v>
      </c>
      <c r="H125" s="535">
        <f>CCBASE!$I$11*B125/1000</f>
        <v>402.48240549999997</v>
      </c>
      <c r="I125" s="535"/>
      <c r="J125" s="535"/>
      <c r="K125" s="535"/>
      <c r="L125" s="535">
        <f>CCBASE!$I$13*B125/1000</f>
        <v>598.84413749999999</v>
      </c>
      <c r="M125" s="535"/>
      <c r="N125" s="535">
        <f>CCBASE!$I$7*B125/1000</f>
        <v>78.855699999999999</v>
      </c>
      <c r="O125" s="535">
        <f>CCBASE!$I$45*B125/1000</f>
        <v>24.925000000000001</v>
      </c>
      <c r="P125" s="535">
        <f>CCBASE!$I$9</f>
        <v>39.7111223</v>
      </c>
      <c r="Q125" s="535">
        <f>CCBASE!$H$51</f>
        <v>5.16</v>
      </c>
      <c r="R125" s="535">
        <f>CCBASE!$I$4</f>
        <v>8.3986041999999994</v>
      </c>
      <c r="S125" s="535">
        <f>CCBASE!$I$8</f>
        <v>16.25526</v>
      </c>
      <c r="T125" s="535">
        <f>CCBASE!$I$44</f>
        <v>94.69</v>
      </c>
      <c r="U125" s="535">
        <f>CCBASE!$I$47*2</f>
        <v>28.82</v>
      </c>
      <c r="V125" s="535">
        <f>CCBASE!$I$46*1.5</f>
        <v>3.66</v>
      </c>
      <c r="W125" s="535">
        <f>CCBASE!$I$42*B125/1000</f>
        <v>177.20147500000002</v>
      </c>
      <c r="X125" s="535"/>
      <c r="Y125" s="535"/>
      <c r="Z125" s="535"/>
      <c r="AA125" s="535"/>
      <c r="AB125" s="535"/>
      <c r="AC125" s="535"/>
      <c r="AD125" s="535">
        <f>CCBASE!$I$38*2</f>
        <v>272.06745999999998</v>
      </c>
    </row>
    <row r="126" spans="1:30" x14ac:dyDescent="0.2">
      <c r="A126" s="533" t="s">
        <v>1080</v>
      </c>
      <c r="B126" s="533">
        <v>2750</v>
      </c>
      <c r="C126" s="533">
        <v>1750</v>
      </c>
      <c r="D126" s="533" t="str">
        <f t="shared" si="5"/>
        <v>UVF27501750</v>
      </c>
      <c r="E126" s="907">
        <f t="shared" si="3"/>
        <v>2977.3020362999996</v>
      </c>
      <c r="F126" s="534">
        <v>30.5</v>
      </c>
      <c r="G126" s="535">
        <f>F126*CCBASE!$B$51</f>
        <v>1098</v>
      </c>
      <c r="H126" s="535">
        <f>CCBASE!$I$11*B126/1000</f>
        <v>442.73064604999996</v>
      </c>
      <c r="I126" s="535"/>
      <c r="J126" s="535"/>
      <c r="K126" s="535"/>
      <c r="L126" s="535">
        <f>CCBASE!$I$13*B126/1000</f>
        <v>658.72855125000001</v>
      </c>
      <c r="M126" s="535"/>
      <c r="N126" s="535">
        <f>CCBASE!$I$7*B126/1000</f>
        <v>86.74127</v>
      </c>
      <c r="O126" s="535">
        <f>CCBASE!$I$45*B126/1000</f>
        <v>27.4175</v>
      </c>
      <c r="P126" s="535">
        <f>CCBASE!$I$9</f>
        <v>39.7111223</v>
      </c>
      <c r="Q126" s="535">
        <f>CCBASE!$H$51</f>
        <v>5.16</v>
      </c>
      <c r="R126" s="535">
        <f>CCBASE!$I$4</f>
        <v>8.3986041999999994</v>
      </c>
      <c r="S126" s="535">
        <f>CCBASE!$I$8</f>
        <v>16.25526</v>
      </c>
      <c r="T126" s="535">
        <f>CCBASE!$I$44</f>
        <v>94.69</v>
      </c>
      <c r="U126" s="535">
        <f>CCBASE!$I$47*2</f>
        <v>28.82</v>
      </c>
      <c r="V126" s="535">
        <f>CCBASE!$I$46*1.5</f>
        <v>3.66</v>
      </c>
      <c r="W126" s="535">
        <f>CCBASE!$I$42*B126/1000</f>
        <v>194.92162249999998</v>
      </c>
      <c r="X126" s="535"/>
      <c r="Y126" s="535"/>
      <c r="Z126" s="535"/>
      <c r="AA126" s="535"/>
      <c r="AB126" s="535"/>
      <c r="AC126" s="535"/>
      <c r="AD126" s="535">
        <f>CCBASE!$I$38*2</f>
        <v>272.06745999999998</v>
      </c>
    </row>
    <row r="127" spans="1:30" x14ac:dyDescent="0.2">
      <c r="A127" s="533" t="s">
        <v>1080</v>
      </c>
      <c r="B127" s="533">
        <v>3000</v>
      </c>
      <c r="C127" s="533">
        <v>1750</v>
      </c>
      <c r="D127" s="533" t="str">
        <f t="shared" si="5"/>
        <v>UVF30001750</v>
      </c>
      <c r="E127" s="907">
        <f t="shared" si="3"/>
        <v>3105.5329081</v>
      </c>
      <c r="F127" s="534">
        <v>30.5</v>
      </c>
      <c r="G127" s="535">
        <f>F127*CCBASE!$B$51</f>
        <v>1098</v>
      </c>
      <c r="H127" s="535">
        <f>CCBASE!$I$11*B127/1000</f>
        <v>482.97888659999995</v>
      </c>
      <c r="I127" s="535"/>
      <c r="J127" s="535"/>
      <c r="K127" s="535"/>
      <c r="L127" s="535">
        <f>CCBASE!$I$13*B127/1000</f>
        <v>718.61296499999992</v>
      </c>
      <c r="M127" s="535"/>
      <c r="N127" s="535">
        <f>CCBASE!$I$7*B127/1000</f>
        <v>94.626840000000016</v>
      </c>
      <c r="O127" s="535">
        <f>CCBASE!$I$45*B127/1000</f>
        <v>29.910000000000004</v>
      </c>
      <c r="P127" s="535">
        <f>CCBASE!$I$9</f>
        <v>39.7111223</v>
      </c>
      <c r="Q127" s="535">
        <f>CCBASE!$H$51</f>
        <v>5.16</v>
      </c>
      <c r="R127" s="535">
        <f>CCBASE!$I$4</f>
        <v>8.3986041999999994</v>
      </c>
      <c r="S127" s="535">
        <f>CCBASE!$I$8</f>
        <v>16.25526</v>
      </c>
      <c r="T127" s="535">
        <f>CCBASE!$I$44</f>
        <v>94.69</v>
      </c>
      <c r="U127" s="535">
        <f>CCBASE!$I$47*2</f>
        <v>28.82</v>
      </c>
      <c r="V127" s="535">
        <f>CCBASE!$I$46*1.5</f>
        <v>3.66</v>
      </c>
      <c r="W127" s="535">
        <f>CCBASE!$I$42*B127/1000</f>
        <v>212.64176999999998</v>
      </c>
      <c r="X127" s="535"/>
      <c r="Y127" s="535"/>
      <c r="Z127" s="535"/>
      <c r="AA127" s="535"/>
      <c r="AB127" s="535"/>
      <c r="AC127" s="535"/>
      <c r="AD127" s="535">
        <f>CCBASE!$I$38*2</f>
        <v>272.06745999999998</v>
      </c>
    </row>
    <row r="128" spans="1:30" x14ac:dyDescent="0.2">
      <c r="A128" s="533" t="s">
        <v>1080</v>
      </c>
      <c r="B128" s="533">
        <v>1000</v>
      </c>
      <c r="C128" s="533">
        <v>2000</v>
      </c>
      <c r="D128" s="533" t="str">
        <f t="shared" si="5"/>
        <v>UVF10002000</v>
      </c>
      <c r="E128" s="907">
        <f t="shared" si="3"/>
        <v>2075.7860294000002</v>
      </c>
      <c r="F128" s="534">
        <v>29.5</v>
      </c>
      <c r="G128" s="535">
        <f>F128*CCBASE!$B$51</f>
        <v>1062</v>
      </c>
      <c r="H128" s="535">
        <f>CCBASE!$I$11*B128/1000</f>
        <v>160.99296219999999</v>
      </c>
      <c r="I128" s="535"/>
      <c r="J128" s="535"/>
      <c r="K128" s="535"/>
      <c r="L128" s="535">
        <f>CCBASE!$I$13*B128/1000</f>
        <v>239.537655</v>
      </c>
      <c r="M128" s="535"/>
      <c r="N128" s="535">
        <f>CCBASE!$I$7*B128/1000</f>
        <v>31.542280000000002</v>
      </c>
      <c r="O128" s="535">
        <f>CCBASE!$I$45*B128/1000</f>
        <v>9.9700000000000006</v>
      </c>
      <c r="P128" s="535">
        <f>CCBASE!$I$10</f>
        <v>30.661922000000001</v>
      </c>
      <c r="Q128" s="535">
        <f>CCBASE!$H$51</f>
        <v>5.16</v>
      </c>
      <c r="R128" s="535">
        <f>CCBASE!$I$4</f>
        <v>8.3986041999999994</v>
      </c>
      <c r="S128" s="535">
        <f>CCBASE!$I$8</f>
        <v>16.25526</v>
      </c>
      <c r="T128" s="535">
        <f>CCBASE!$I$44</f>
        <v>94.69</v>
      </c>
      <c r="U128" s="535">
        <f>CCBASE!$I$47</f>
        <v>14.41</v>
      </c>
      <c r="V128" s="535">
        <f>CCBASE!$I$46</f>
        <v>2.44</v>
      </c>
      <c r="W128" s="535">
        <f>CCBASE!$I$43*B128/1000</f>
        <v>88.624119999999991</v>
      </c>
      <c r="X128" s="535"/>
      <c r="Y128" s="535"/>
      <c r="Z128" s="535"/>
      <c r="AA128" s="535"/>
      <c r="AB128" s="535"/>
      <c r="AC128" s="535"/>
      <c r="AD128" s="535">
        <f>CCBASE!$I$39*2</f>
        <v>311.10322599999995</v>
      </c>
    </row>
    <row r="129" spans="1:45" x14ac:dyDescent="0.2">
      <c r="A129" s="533" t="s">
        <v>1080</v>
      </c>
      <c r="B129" s="533">
        <v>1250</v>
      </c>
      <c r="C129" s="533">
        <v>2000</v>
      </c>
      <c r="D129" s="533" t="str">
        <f t="shared" si="5"/>
        <v>UVF12502000</v>
      </c>
      <c r="E129" s="907">
        <f t="shared" si="3"/>
        <v>2222.8627837000004</v>
      </c>
      <c r="F129" s="534">
        <v>29.5</v>
      </c>
      <c r="G129" s="535">
        <f>F129*CCBASE!$B$51</f>
        <v>1062</v>
      </c>
      <c r="H129" s="535">
        <f>CCBASE!$I$11*B129/1000</f>
        <v>201.24120274999999</v>
      </c>
      <c r="I129" s="535"/>
      <c r="J129" s="535"/>
      <c r="K129" s="535"/>
      <c r="L129" s="535">
        <f>CCBASE!$I$13*B129/1000</f>
        <v>299.42206874999999</v>
      </c>
      <c r="M129" s="535"/>
      <c r="N129" s="535">
        <f>CCBASE!$I$7*B129/1000</f>
        <v>39.427849999999999</v>
      </c>
      <c r="O129" s="535">
        <f>CCBASE!$I$45*B129/1000</f>
        <v>12.4625</v>
      </c>
      <c r="P129" s="535">
        <f>CCBASE!$I$10</f>
        <v>30.661922000000001</v>
      </c>
      <c r="Q129" s="535">
        <f>CCBASE!$H$51</f>
        <v>5.16</v>
      </c>
      <c r="R129" s="535">
        <f>CCBASE!$I$4</f>
        <v>8.3986041999999994</v>
      </c>
      <c r="S129" s="535">
        <f>CCBASE!$I$8</f>
        <v>16.25526</v>
      </c>
      <c r="T129" s="535">
        <f>CCBASE!$I$44</f>
        <v>94.69</v>
      </c>
      <c r="U129" s="535">
        <f>CCBASE!$I$47*2</f>
        <v>28.82</v>
      </c>
      <c r="V129" s="535">
        <f>CCBASE!$I$46</f>
        <v>2.44</v>
      </c>
      <c r="W129" s="535">
        <f>CCBASE!$I$43*B129/1000</f>
        <v>110.78014999999999</v>
      </c>
      <c r="X129" s="535"/>
      <c r="Y129" s="535"/>
      <c r="Z129" s="535"/>
      <c r="AA129" s="535"/>
      <c r="AB129" s="535"/>
      <c r="AC129" s="535"/>
      <c r="AD129" s="535">
        <f>CCBASE!$I$39*2</f>
        <v>311.10322599999995</v>
      </c>
    </row>
    <row r="130" spans="1:45" x14ac:dyDescent="0.2">
      <c r="A130" s="533" t="s">
        <v>1080</v>
      </c>
      <c r="B130" s="533">
        <v>1500</v>
      </c>
      <c r="C130" s="533">
        <v>2000</v>
      </c>
      <c r="D130" s="533" t="str">
        <f t="shared" si="5"/>
        <v>UVF15002000</v>
      </c>
      <c r="E130" s="907">
        <f t="shared" ref="E130:E193" si="6">SUM(G130:AD130)</f>
        <v>2355.5295379999998</v>
      </c>
      <c r="F130" s="534">
        <v>29.5</v>
      </c>
      <c r="G130" s="535">
        <f>F130*CCBASE!$B$51</f>
        <v>1062</v>
      </c>
      <c r="H130" s="535">
        <f>CCBASE!$I$11*B130/1000</f>
        <v>241.48944329999998</v>
      </c>
      <c r="I130" s="535"/>
      <c r="J130" s="535"/>
      <c r="K130" s="535"/>
      <c r="L130" s="535">
        <f>CCBASE!$I$13*B130/1000</f>
        <v>359.30648249999996</v>
      </c>
      <c r="M130" s="535"/>
      <c r="N130" s="535">
        <f>CCBASE!$I$7*B130/1000</f>
        <v>47.313420000000008</v>
      </c>
      <c r="O130" s="535">
        <f>CCBASE!$I$45*B130/1000</f>
        <v>14.955000000000002</v>
      </c>
      <c r="P130" s="535">
        <f>CCBASE!$I$10</f>
        <v>30.661922000000001</v>
      </c>
      <c r="Q130" s="535">
        <f>CCBASE!$H$51</f>
        <v>5.16</v>
      </c>
      <c r="R130" s="535">
        <f>CCBASE!$I$4</f>
        <v>8.3986041999999994</v>
      </c>
      <c r="S130" s="535">
        <f>CCBASE!$I$8</f>
        <v>16.25526</v>
      </c>
      <c r="T130" s="535">
        <f>CCBASE!$I$44</f>
        <v>94.69</v>
      </c>
      <c r="U130" s="535">
        <f>CCBASE!$I$47*2</f>
        <v>28.82</v>
      </c>
      <c r="V130" s="535">
        <f>CCBASE!$I$46</f>
        <v>2.44</v>
      </c>
      <c r="W130" s="535">
        <f>CCBASE!$I$43*B130/1000</f>
        <v>132.93617999999998</v>
      </c>
      <c r="X130" s="535"/>
      <c r="Y130" s="535"/>
      <c r="Z130" s="535"/>
      <c r="AA130" s="535"/>
      <c r="AB130" s="535"/>
      <c r="AC130" s="535"/>
      <c r="AD130" s="535">
        <f>CCBASE!$I$39*2</f>
        <v>311.10322599999995</v>
      </c>
    </row>
    <row r="131" spans="1:45" x14ac:dyDescent="0.2">
      <c r="A131" s="533" t="s">
        <v>1080</v>
      </c>
      <c r="B131" s="533">
        <v>1750</v>
      </c>
      <c r="C131" s="533">
        <v>2000</v>
      </c>
      <c r="D131" s="533" t="str">
        <f t="shared" si="5"/>
        <v>UVF17502000</v>
      </c>
      <c r="E131" s="907">
        <f t="shared" si="6"/>
        <v>2498.4654925999994</v>
      </c>
      <c r="F131" s="534">
        <v>29.5</v>
      </c>
      <c r="G131" s="535">
        <f>F131*CCBASE!$B$51</f>
        <v>1062</v>
      </c>
      <c r="H131" s="535">
        <f>CCBASE!$I$11*B131/1000</f>
        <v>281.73768385</v>
      </c>
      <c r="I131" s="535"/>
      <c r="J131" s="535"/>
      <c r="K131" s="535"/>
      <c r="L131" s="535">
        <f>CCBASE!$I$13*B131/1000</f>
        <v>419.19089624999998</v>
      </c>
      <c r="M131" s="535"/>
      <c r="N131" s="535">
        <f>CCBASE!$I$7*B131/1000</f>
        <v>55.198990000000002</v>
      </c>
      <c r="O131" s="535">
        <f>CCBASE!$I$45*B131/1000</f>
        <v>17.447500000000002</v>
      </c>
      <c r="P131" s="535">
        <f>CCBASE!$I$9</f>
        <v>39.7111223</v>
      </c>
      <c r="Q131" s="535">
        <f>CCBASE!$H$51</f>
        <v>5.16</v>
      </c>
      <c r="R131" s="535">
        <f>CCBASE!$I$4</f>
        <v>8.3986041999999994</v>
      </c>
      <c r="S131" s="535">
        <f>CCBASE!$I$8</f>
        <v>16.25526</v>
      </c>
      <c r="T131" s="535">
        <f>CCBASE!$I$44</f>
        <v>94.69</v>
      </c>
      <c r="U131" s="535">
        <f>CCBASE!$I$47*2</f>
        <v>28.82</v>
      </c>
      <c r="V131" s="535">
        <f>CCBASE!$I$46*1.5</f>
        <v>3.66</v>
      </c>
      <c r="W131" s="535">
        <f>CCBASE!$I$43*B131/1000</f>
        <v>155.09220999999999</v>
      </c>
      <c r="X131" s="535"/>
      <c r="Y131" s="535"/>
      <c r="Z131" s="535"/>
      <c r="AA131" s="535"/>
      <c r="AB131" s="535"/>
      <c r="AC131" s="535"/>
      <c r="AD131" s="535">
        <f>CCBASE!$I$39*2</f>
        <v>311.10322599999995</v>
      </c>
    </row>
    <row r="132" spans="1:45" x14ac:dyDescent="0.2">
      <c r="A132" s="533" t="s">
        <v>1080</v>
      </c>
      <c r="B132" s="533">
        <v>2000</v>
      </c>
      <c r="C132" s="533">
        <v>2000</v>
      </c>
      <c r="D132" s="533" t="str">
        <f t="shared" si="5"/>
        <v>UVF20002000</v>
      </c>
      <c r="E132" s="907">
        <f t="shared" si="6"/>
        <v>2631.1322468999997</v>
      </c>
      <c r="F132" s="534">
        <v>29.5</v>
      </c>
      <c r="G132" s="535">
        <f>F132*CCBASE!$B$51</f>
        <v>1062</v>
      </c>
      <c r="H132" s="535">
        <f>CCBASE!$I$11*B132/1000</f>
        <v>321.98592439999999</v>
      </c>
      <c r="I132" s="535"/>
      <c r="J132" s="535"/>
      <c r="K132" s="535"/>
      <c r="L132" s="535">
        <f>CCBASE!$I$13*B132/1000</f>
        <v>479.07531</v>
      </c>
      <c r="M132" s="535"/>
      <c r="N132" s="535">
        <f>CCBASE!$I$7*B132/1000</f>
        <v>63.084560000000003</v>
      </c>
      <c r="O132" s="535">
        <f>CCBASE!$I$45*B132/1000</f>
        <v>19.940000000000001</v>
      </c>
      <c r="P132" s="535">
        <f>CCBASE!$I$9</f>
        <v>39.7111223</v>
      </c>
      <c r="Q132" s="535">
        <f>CCBASE!$H$51</f>
        <v>5.16</v>
      </c>
      <c r="R132" s="535">
        <f>CCBASE!$I$4</f>
        <v>8.3986041999999994</v>
      </c>
      <c r="S132" s="535">
        <f>CCBASE!$I$8</f>
        <v>16.25526</v>
      </c>
      <c r="T132" s="535">
        <f>CCBASE!$I$44</f>
        <v>94.69</v>
      </c>
      <c r="U132" s="535">
        <f>CCBASE!$I$47*2</f>
        <v>28.82</v>
      </c>
      <c r="V132" s="535">
        <f>CCBASE!$I$46*1.5</f>
        <v>3.66</v>
      </c>
      <c r="W132" s="535">
        <f>CCBASE!$I$43*B132/1000</f>
        <v>177.24823999999998</v>
      </c>
      <c r="X132" s="535"/>
      <c r="Y132" s="535"/>
      <c r="Z132" s="535"/>
      <c r="AA132" s="535"/>
      <c r="AB132" s="535"/>
      <c r="AC132" s="535"/>
      <c r="AD132" s="535">
        <f>CCBASE!$I$39*2</f>
        <v>311.10322599999995</v>
      </c>
    </row>
    <row r="133" spans="1:45" x14ac:dyDescent="0.2">
      <c r="A133" s="533" t="s">
        <v>1080</v>
      </c>
      <c r="B133" s="533">
        <v>2250</v>
      </c>
      <c r="C133" s="533">
        <v>2000</v>
      </c>
      <c r="D133" s="533" t="str">
        <f t="shared" si="5"/>
        <v>UVF22502000</v>
      </c>
      <c r="E133" s="907">
        <f t="shared" si="6"/>
        <v>2799.7990012</v>
      </c>
      <c r="F133" s="534">
        <v>30.5</v>
      </c>
      <c r="G133" s="535">
        <f>F133*CCBASE!$B$51</f>
        <v>1098</v>
      </c>
      <c r="H133" s="535">
        <f>CCBASE!$I$11*B133/1000</f>
        <v>362.23416494999998</v>
      </c>
      <c r="I133" s="535"/>
      <c r="J133" s="535"/>
      <c r="K133" s="535"/>
      <c r="L133" s="535">
        <f>CCBASE!$I$13*B133/1000</f>
        <v>538.95972374999997</v>
      </c>
      <c r="M133" s="535"/>
      <c r="N133" s="535">
        <f>CCBASE!$I$7*B133/1000</f>
        <v>70.970130000000012</v>
      </c>
      <c r="O133" s="535">
        <f>CCBASE!$I$45*B133/1000</f>
        <v>22.432500000000001</v>
      </c>
      <c r="P133" s="535">
        <f>CCBASE!$I$9</f>
        <v>39.7111223</v>
      </c>
      <c r="Q133" s="535">
        <f>CCBASE!$H$51</f>
        <v>5.16</v>
      </c>
      <c r="R133" s="535">
        <f>CCBASE!$I$4</f>
        <v>8.3986041999999994</v>
      </c>
      <c r="S133" s="535">
        <f>CCBASE!$I$8</f>
        <v>16.25526</v>
      </c>
      <c r="T133" s="535">
        <f>CCBASE!$I$44</f>
        <v>94.69</v>
      </c>
      <c r="U133" s="535">
        <f>CCBASE!$I$47*2</f>
        <v>28.82</v>
      </c>
      <c r="V133" s="535">
        <f>CCBASE!$I$46*1.5</f>
        <v>3.66</v>
      </c>
      <c r="W133" s="535">
        <f>CCBASE!$I$43*B133/1000</f>
        <v>199.40427</v>
      </c>
      <c r="X133" s="535"/>
      <c r="Y133" s="535"/>
      <c r="Z133" s="535"/>
      <c r="AA133" s="535"/>
      <c r="AB133" s="535"/>
      <c r="AC133" s="535"/>
      <c r="AD133" s="535">
        <f>CCBASE!$I$39*2</f>
        <v>311.10322599999995</v>
      </c>
    </row>
    <row r="134" spans="1:45" x14ac:dyDescent="0.2">
      <c r="A134" s="533" t="s">
        <v>1080</v>
      </c>
      <c r="B134" s="533">
        <v>2500</v>
      </c>
      <c r="C134" s="533">
        <v>2000</v>
      </c>
      <c r="D134" s="533" t="str">
        <f t="shared" si="5"/>
        <v>UVF25002000</v>
      </c>
      <c r="E134" s="907">
        <f t="shared" si="6"/>
        <v>2932.4657555000003</v>
      </c>
      <c r="F134" s="534">
        <v>30.5</v>
      </c>
      <c r="G134" s="535">
        <f>F134*CCBASE!$B$51</f>
        <v>1098</v>
      </c>
      <c r="H134" s="535">
        <f>CCBASE!$I$11*B134/1000</f>
        <v>402.48240549999997</v>
      </c>
      <c r="I134" s="535"/>
      <c r="J134" s="535"/>
      <c r="K134" s="535"/>
      <c r="L134" s="535">
        <f>CCBASE!$I$13*B134/1000</f>
        <v>598.84413749999999</v>
      </c>
      <c r="M134" s="535"/>
      <c r="N134" s="535">
        <f>CCBASE!$I$7*B134/1000</f>
        <v>78.855699999999999</v>
      </c>
      <c r="O134" s="535">
        <f>CCBASE!$I$45*B134/1000</f>
        <v>24.925000000000001</v>
      </c>
      <c r="P134" s="535">
        <f>CCBASE!$I$9</f>
        <v>39.7111223</v>
      </c>
      <c r="Q134" s="535">
        <f>CCBASE!$H$51</f>
        <v>5.16</v>
      </c>
      <c r="R134" s="535">
        <f>CCBASE!$I$4</f>
        <v>8.3986041999999994</v>
      </c>
      <c r="S134" s="535">
        <f>CCBASE!$I$8</f>
        <v>16.25526</v>
      </c>
      <c r="T134" s="535">
        <f>CCBASE!$I$44</f>
        <v>94.69</v>
      </c>
      <c r="U134" s="535">
        <f>CCBASE!$I$47*2</f>
        <v>28.82</v>
      </c>
      <c r="V134" s="535">
        <f>CCBASE!$I$46*1.5</f>
        <v>3.66</v>
      </c>
      <c r="W134" s="535">
        <f>CCBASE!$I$43*B134/1000</f>
        <v>221.56029999999998</v>
      </c>
      <c r="X134" s="535"/>
      <c r="Y134" s="535"/>
      <c r="Z134" s="535"/>
      <c r="AA134" s="535"/>
      <c r="AB134" s="535"/>
      <c r="AC134" s="535"/>
      <c r="AD134" s="535">
        <f>CCBASE!$I$39*2</f>
        <v>311.10322599999995</v>
      </c>
    </row>
    <row r="135" spans="1:45" x14ac:dyDescent="0.2">
      <c r="A135" s="533" t="s">
        <v>1080</v>
      </c>
      <c r="B135" s="533">
        <v>2750</v>
      </c>
      <c r="C135" s="533">
        <v>2000</v>
      </c>
      <c r="D135" s="533" t="str">
        <f t="shared" si="5"/>
        <v>UVF27502000</v>
      </c>
      <c r="E135" s="907">
        <f t="shared" si="6"/>
        <v>3065.1325097999998</v>
      </c>
      <c r="F135" s="534">
        <v>30.5</v>
      </c>
      <c r="G135" s="535">
        <f>F135*CCBASE!$B$51</f>
        <v>1098</v>
      </c>
      <c r="H135" s="535">
        <f>CCBASE!$I$11*B135/1000</f>
        <v>442.73064604999996</v>
      </c>
      <c r="I135" s="535"/>
      <c r="J135" s="535"/>
      <c r="K135" s="535"/>
      <c r="L135" s="535">
        <f>CCBASE!$I$13*B135/1000</f>
        <v>658.72855125000001</v>
      </c>
      <c r="M135" s="535"/>
      <c r="N135" s="535">
        <f>CCBASE!$I$7*B135/1000</f>
        <v>86.74127</v>
      </c>
      <c r="O135" s="535">
        <f>CCBASE!$I$45*B135/1000</f>
        <v>27.4175</v>
      </c>
      <c r="P135" s="535">
        <f>CCBASE!$I$9</f>
        <v>39.7111223</v>
      </c>
      <c r="Q135" s="535">
        <f>CCBASE!$H$51</f>
        <v>5.16</v>
      </c>
      <c r="R135" s="535">
        <f>CCBASE!$I$4</f>
        <v>8.3986041999999994</v>
      </c>
      <c r="S135" s="535">
        <f>CCBASE!$I$8</f>
        <v>16.25526</v>
      </c>
      <c r="T135" s="535">
        <f>CCBASE!$I$44</f>
        <v>94.69</v>
      </c>
      <c r="U135" s="535">
        <f>CCBASE!$I$47*2</f>
        <v>28.82</v>
      </c>
      <c r="V135" s="535">
        <f>CCBASE!$I$46*1.5</f>
        <v>3.66</v>
      </c>
      <c r="W135" s="535">
        <f>CCBASE!$I$43*B135/1000</f>
        <v>243.71633</v>
      </c>
      <c r="X135" s="535"/>
      <c r="Y135" s="535"/>
      <c r="Z135" s="535"/>
      <c r="AA135" s="535"/>
      <c r="AB135" s="535"/>
      <c r="AC135" s="535"/>
      <c r="AD135" s="535">
        <f>CCBASE!$I$39*2</f>
        <v>311.10322599999995</v>
      </c>
    </row>
    <row r="136" spans="1:45" x14ac:dyDescent="0.2">
      <c r="A136" s="533" t="s">
        <v>1080</v>
      </c>
      <c r="B136" s="533">
        <v>3000</v>
      </c>
      <c r="C136" s="533">
        <v>2000</v>
      </c>
      <c r="D136" s="533" t="str">
        <f t="shared" si="5"/>
        <v>UVF30002000</v>
      </c>
      <c r="E136" s="907">
        <f t="shared" si="6"/>
        <v>3197.7992640999992</v>
      </c>
      <c r="F136" s="534">
        <v>30.5</v>
      </c>
      <c r="G136" s="535">
        <f>F136*CCBASE!$B$51</f>
        <v>1098</v>
      </c>
      <c r="H136" s="535">
        <f>CCBASE!$I$11*B136/1000</f>
        <v>482.97888659999995</v>
      </c>
      <c r="I136" s="535"/>
      <c r="J136" s="535"/>
      <c r="K136" s="535"/>
      <c r="L136" s="535">
        <f>CCBASE!$I$13*B136/1000</f>
        <v>718.61296499999992</v>
      </c>
      <c r="M136" s="535"/>
      <c r="N136" s="535">
        <f>CCBASE!$I$7*B136/1000</f>
        <v>94.626840000000016</v>
      </c>
      <c r="O136" s="535">
        <f>CCBASE!$I$45*B136/1000</f>
        <v>29.910000000000004</v>
      </c>
      <c r="P136" s="535">
        <f>CCBASE!$I$9</f>
        <v>39.7111223</v>
      </c>
      <c r="Q136" s="535">
        <f>CCBASE!$H$51</f>
        <v>5.16</v>
      </c>
      <c r="R136" s="535">
        <f>CCBASE!$I$4</f>
        <v>8.3986041999999994</v>
      </c>
      <c r="S136" s="535">
        <f>CCBASE!$I$8</f>
        <v>16.25526</v>
      </c>
      <c r="T136" s="535">
        <f>CCBASE!$I$44</f>
        <v>94.69</v>
      </c>
      <c r="U136" s="535">
        <f>CCBASE!$I$47*2</f>
        <v>28.82</v>
      </c>
      <c r="V136" s="535">
        <f>CCBASE!$I$46*1.5</f>
        <v>3.66</v>
      </c>
      <c r="W136" s="535">
        <f>CCBASE!$I$43*B136/1000</f>
        <v>265.87235999999996</v>
      </c>
      <c r="X136" s="535"/>
      <c r="Y136" s="535"/>
      <c r="Z136" s="535"/>
      <c r="AA136" s="535"/>
      <c r="AB136" s="535"/>
      <c r="AC136" s="535"/>
      <c r="AD136" s="535">
        <f>CCBASE!$I$39*2</f>
        <v>311.10322599999995</v>
      </c>
    </row>
    <row r="137" spans="1:45" x14ac:dyDescent="0.2">
      <c r="A137" s="533" t="s">
        <v>63</v>
      </c>
      <c r="B137" s="533">
        <v>1000</v>
      </c>
      <c r="C137" s="533">
        <v>1000</v>
      </c>
      <c r="D137" s="533" t="str">
        <f t="shared" ref="D137:D181" si="7">$A137&amp;B137&amp;C137</f>
        <v>KVX10001000</v>
      </c>
      <c r="E137" s="907">
        <f t="shared" si="6"/>
        <v>845.18531050000001</v>
      </c>
      <c r="F137" s="534">
        <v>13</v>
      </c>
      <c r="G137" s="535">
        <f>F137*CCBASE!$B$51</f>
        <v>468</v>
      </c>
      <c r="H137" s="535">
        <f>CCBASE!$I$12*B137/1000</f>
        <v>119.65053730000001</v>
      </c>
      <c r="I137" s="535"/>
      <c r="J137" s="535"/>
      <c r="K137" s="535"/>
      <c r="L137" s="534"/>
      <c r="M137" s="535">
        <f>CCBASE!$I$15*B137/1000</f>
        <v>79.84588500000001</v>
      </c>
      <c r="N137" s="535"/>
      <c r="O137" s="535"/>
      <c r="P137" s="535"/>
      <c r="Q137" s="535">
        <f>CCBASE!$I$51</f>
        <v>2.9</v>
      </c>
      <c r="R137" s="535">
        <f>CCBASE!$I$4</f>
        <v>8.3986041999999994</v>
      </c>
      <c r="S137" s="535">
        <f>CCBASE!$I$8</f>
        <v>16.25526</v>
      </c>
      <c r="T137" s="534"/>
      <c r="U137" s="535"/>
      <c r="V137" s="535"/>
      <c r="W137" s="535">
        <f>CCBASE!$I$40*B137/1000</f>
        <v>41.308039999999998</v>
      </c>
      <c r="X137" s="535"/>
      <c r="Y137" s="535"/>
      <c r="Z137" s="535"/>
      <c r="AA137" s="535"/>
      <c r="AB137" s="535"/>
      <c r="AC137" s="535"/>
      <c r="AD137" s="535">
        <f>CCBASE!$I$32*2</f>
        <v>108.826984</v>
      </c>
      <c r="AI137" s="537"/>
      <c r="AJ137" s="537"/>
      <c r="AK137" s="538"/>
      <c r="AL137" s="538"/>
      <c r="AM137" s="538"/>
      <c r="AN137" s="538"/>
      <c r="AO137" s="538"/>
      <c r="AP137" s="538"/>
      <c r="AQ137" s="538"/>
      <c r="AR137" s="538"/>
      <c r="AS137" s="538"/>
    </row>
    <row r="138" spans="1:45" x14ac:dyDescent="0.2">
      <c r="A138" s="533" t="s">
        <v>63</v>
      </c>
      <c r="B138" s="533">
        <v>1250</v>
      </c>
      <c r="C138" s="533">
        <v>1000</v>
      </c>
      <c r="D138" s="533" t="str">
        <f t="shared" si="7"/>
        <v>KVX12501000</v>
      </c>
      <c r="E138" s="907">
        <f t="shared" si="6"/>
        <v>905.38642607500003</v>
      </c>
      <c r="F138" s="534">
        <v>13</v>
      </c>
      <c r="G138" s="535">
        <f>F138*CCBASE!$B$51</f>
        <v>468</v>
      </c>
      <c r="H138" s="535">
        <f>CCBASE!$I$12*B138/1000</f>
        <v>149.56317162500002</v>
      </c>
      <c r="I138" s="535"/>
      <c r="J138" s="535"/>
      <c r="K138" s="535"/>
      <c r="L138" s="534"/>
      <c r="M138" s="535">
        <f>CCBASE!$I$15*B138/1000</f>
        <v>99.807356250000012</v>
      </c>
      <c r="N138" s="535"/>
      <c r="O138" s="535"/>
      <c r="P138" s="535"/>
      <c r="Q138" s="535">
        <f>CCBASE!$I$51</f>
        <v>2.9</v>
      </c>
      <c r="R138" s="535">
        <f>CCBASE!$I$4</f>
        <v>8.3986041999999994</v>
      </c>
      <c r="S138" s="535">
        <f>CCBASE!$I$8</f>
        <v>16.25526</v>
      </c>
      <c r="T138" s="534"/>
      <c r="U138" s="535"/>
      <c r="V138" s="535"/>
      <c r="W138" s="535">
        <f>CCBASE!$I$40*B138/1000</f>
        <v>51.635049999999993</v>
      </c>
      <c r="X138" s="535"/>
      <c r="Y138" s="535"/>
      <c r="Z138" s="535"/>
      <c r="AA138" s="535"/>
      <c r="AB138" s="535"/>
      <c r="AC138" s="535"/>
      <c r="AD138" s="535">
        <f>CCBASE!$I$32*2</f>
        <v>108.826984</v>
      </c>
      <c r="AI138" s="537"/>
      <c r="AJ138" s="537"/>
      <c r="AK138" s="538"/>
      <c r="AL138" s="538"/>
      <c r="AM138" s="538"/>
      <c r="AN138" s="538"/>
      <c r="AO138" s="538"/>
      <c r="AP138" s="538"/>
      <c r="AQ138" s="538"/>
      <c r="AR138" s="538"/>
      <c r="AS138" s="538"/>
    </row>
    <row r="139" spans="1:45" x14ac:dyDescent="0.2">
      <c r="A139" s="533" t="s">
        <v>63</v>
      </c>
      <c r="B139" s="533">
        <v>1500</v>
      </c>
      <c r="C139" s="533">
        <v>1000</v>
      </c>
      <c r="D139" s="533" t="str">
        <f t="shared" si="7"/>
        <v>KVX15001000</v>
      </c>
      <c r="E139" s="907">
        <f t="shared" si="6"/>
        <v>965.58754165000005</v>
      </c>
      <c r="F139" s="534">
        <v>13</v>
      </c>
      <c r="G139" s="535">
        <f>F139*CCBASE!$B$51</f>
        <v>468</v>
      </c>
      <c r="H139" s="535">
        <f>CCBASE!$I$12*B139/1000</f>
        <v>179.47580595000002</v>
      </c>
      <c r="I139" s="535"/>
      <c r="J139" s="535"/>
      <c r="K139" s="535"/>
      <c r="L139" s="534"/>
      <c r="M139" s="535">
        <f>CCBASE!$I$15*B139/1000</f>
        <v>119.76882750000001</v>
      </c>
      <c r="N139" s="535"/>
      <c r="O139" s="535"/>
      <c r="P139" s="535"/>
      <c r="Q139" s="535">
        <f>CCBASE!$I$51</f>
        <v>2.9</v>
      </c>
      <c r="R139" s="535">
        <f>CCBASE!$I$4</f>
        <v>8.3986041999999994</v>
      </c>
      <c r="S139" s="535">
        <f>CCBASE!$I$8</f>
        <v>16.25526</v>
      </c>
      <c r="T139" s="534"/>
      <c r="U139" s="535"/>
      <c r="V139" s="535"/>
      <c r="W139" s="535">
        <f>CCBASE!$I$40*B139/1000</f>
        <v>61.962060000000001</v>
      </c>
      <c r="X139" s="535"/>
      <c r="Y139" s="535"/>
      <c r="Z139" s="535"/>
      <c r="AA139" s="535"/>
      <c r="AB139" s="535"/>
      <c r="AC139" s="535"/>
      <c r="AD139" s="535">
        <f>CCBASE!$I$32*2</f>
        <v>108.826984</v>
      </c>
      <c r="AI139" s="537"/>
      <c r="AJ139" s="537"/>
      <c r="AK139" s="538"/>
      <c r="AL139" s="538"/>
      <c r="AM139" s="538"/>
      <c r="AN139" s="538"/>
      <c r="AO139" s="538"/>
      <c r="AP139" s="538"/>
      <c r="AQ139" s="538"/>
      <c r="AR139" s="538"/>
      <c r="AS139" s="538"/>
    </row>
    <row r="140" spans="1:45" x14ac:dyDescent="0.2">
      <c r="A140" s="533" t="s">
        <v>63</v>
      </c>
      <c r="B140" s="533">
        <v>1750</v>
      </c>
      <c r="C140" s="533">
        <v>1000</v>
      </c>
      <c r="D140" s="533" t="str">
        <f t="shared" si="7"/>
        <v>KVX17501000</v>
      </c>
      <c r="E140" s="907">
        <f t="shared" si="6"/>
        <v>1025.788657225</v>
      </c>
      <c r="F140" s="534">
        <v>13</v>
      </c>
      <c r="G140" s="535">
        <f>F140*CCBASE!$B$51</f>
        <v>468</v>
      </c>
      <c r="H140" s="535">
        <f>CCBASE!$I$12*B140/1000</f>
        <v>209.38844027500002</v>
      </c>
      <c r="I140" s="535"/>
      <c r="J140" s="535"/>
      <c r="K140" s="535"/>
      <c r="L140" s="534"/>
      <c r="M140" s="535">
        <f>CCBASE!$I$15*B140/1000</f>
        <v>139.73029875</v>
      </c>
      <c r="N140" s="535"/>
      <c r="O140" s="535"/>
      <c r="P140" s="535"/>
      <c r="Q140" s="535">
        <f>CCBASE!$I$51</f>
        <v>2.9</v>
      </c>
      <c r="R140" s="535">
        <f>CCBASE!$I$4</f>
        <v>8.3986041999999994</v>
      </c>
      <c r="S140" s="535">
        <f>CCBASE!$I$8</f>
        <v>16.25526</v>
      </c>
      <c r="T140" s="534"/>
      <c r="U140" s="535"/>
      <c r="V140" s="535"/>
      <c r="W140" s="535">
        <f>CCBASE!$I$40*B140/1000</f>
        <v>72.289069999999995</v>
      </c>
      <c r="X140" s="535"/>
      <c r="Y140" s="535"/>
      <c r="Z140" s="535"/>
      <c r="AA140" s="535"/>
      <c r="AB140" s="535"/>
      <c r="AC140" s="535"/>
      <c r="AD140" s="535">
        <f>CCBASE!$I$32*2</f>
        <v>108.826984</v>
      </c>
      <c r="AI140" s="537"/>
      <c r="AJ140" s="537"/>
      <c r="AN140" s="538"/>
      <c r="AO140" s="538"/>
      <c r="AP140" s="538"/>
      <c r="AQ140" s="538"/>
      <c r="AR140" s="538"/>
      <c r="AS140" s="538"/>
    </row>
    <row r="141" spans="1:45" x14ac:dyDescent="0.2">
      <c r="A141" s="533" t="s">
        <v>63</v>
      </c>
      <c r="B141" s="533">
        <v>2000</v>
      </c>
      <c r="C141" s="533">
        <v>1000</v>
      </c>
      <c r="D141" s="533" t="str">
        <f t="shared" si="7"/>
        <v>KVX20001000</v>
      </c>
      <c r="E141" s="907">
        <f t="shared" si="6"/>
        <v>1085.9897728000001</v>
      </c>
      <c r="F141" s="534">
        <v>13</v>
      </c>
      <c r="G141" s="535">
        <f>F141*CCBASE!$B$51</f>
        <v>468</v>
      </c>
      <c r="H141" s="535">
        <f>CCBASE!$I$12*B141/1000</f>
        <v>239.30107460000002</v>
      </c>
      <c r="I141" s="535"/>
      <c r="J141" s="535"/>
      <c r="K141" s="535"/>
      <c r="L141" s="534"/>
      <c r="M141" s="535">
        <f>CCBASE!$I$15*B141/1000</f>
        <v>159.69177000000002</v>
      </c>
      <c r="N141" s="535"/>
      <c r="O141" s="535"/>
      <c r="P141" s="535"/>
      <c r="Q141" s="535">
        <f>CCBASE!$I$51</f>
        <v>2.9</v>
      </c>
      <c r="R141" s="535">
        <f>CCBASE!$I$4</f>
        <v>8.3986041999999994</v>
      </c>
      <c r="S141" s="535">
        <f>CCBASE!$I$8</f>
        <v>16.25526</v>
      </c>
      <c r="T141" s="534"/>
      <c r="U141" s="535"/>
      <c r="V141" s="535"/>
      <c r="W141" s="535">
        <f>CCBASE!$I$40*B141/1000</f>
        <v>82.616079999999997</v>
      </c>
      <c r="X141" s="535"/>
      <c r="Y141" s="535"/>
      <c r="Z141" s="535"/>
      <c r="AA141" s="535"/>
      <c r="AB141" s="535"/>
      <c r="AC141" s="535"/>
      <c r="AD141" s="535">
        <f>CCBASE!$I$32*2</f>
        <v>108.826984</v>
      </c>
      <c r="AI141" s="537"/>
      <c r="AJ141" s="537"/>
      <c r="AN141" s="538"/>
      <c r="AO141" s="538"/>
      <c r="AP141" s="538"/>
      <c r="AQ141" s="538"/>
      <c r="AR141" s="538"/>
      <c r="AS141" s="538"/>
    </row>
    <row r="142" spans="1:45" x14ac:dyDescent="0.2">
      <c r="A142" s="533" t="s">
        <v>63</v>
      </c>
      <c r="B142" s="533">
        <v>2250</v>
      </c>
      <c r="C142" s="533">
        <v>1000</v>
      </c>
      <c r="D142" s="533" t="str">
        <f t="shared" si="7"/>
        <v>KVX22501000</v>
      </c>
      <c r="E142" s="907">
        <f t="shared" si="6"/>
        <v>1182.1908883750002</v>
      </c>
      <c r="F142" s="534">
        <v>14</v>
      </c>
      <c r="G142" s="535">
        <f>F142*CCBASE!$B$51</f>
        <v>504</v>
      </c>
      <c r="H142" s="535">
        <f>CCBASE!$I$12*B142/1000</f>
        <v>269.21370892500005</v>
      </c>
      <c r="I142" s="535"/>
      <c r="J142" s="535"/>
      <c r="K142" s="535"/>
      <c r="L142" s="534"/>
      <c r="M142" s="535">
        <f>CCBASE!$I$15*B142/1000</f>
        <v>179.65324125000001</v>
      </c>
      <c r="N142" s="535"/>
      <c r="O142" s="535"/>
      <c r="P142" s="535"/>
      <c r="Q142" s="535">
        <f>CCBASE!$I$51</f>
        <v>2.9</v>
      </c>
      <c r="R142" s="535">
        <f>CCBASE!$I$4</f>
        <v>8.3986041999999994</v>
      </c>
      <c r="S142" s="535">
        <f>CCBASE!$I$8</f>
        <v>16.25526</v>
      </c>
      <c r="T142" s="534"/>
      <c r="U142" s="535"/>
      <c r="V142" s="535"/>
      <c r="W142" s="535">
        <f>CCBASE!$I$40*B142/1000</f>
        <v>92.943089999999998</v>
      </c>
      <c r="X142" s="535"/>
      <c r="Y142" s="535"/>
      <c r="Z142" s="535"/>
      <c r="AA142" s="535"/>
      <c r="AB142" s="535"/>
      <c r="AC142" s="535"/>
      <c r="AD142" s="535">
        <f>CCBASE!$I$32*2</f>
        <v>108.826984</v>
      </c>
      <c r="AI142" s="537"/>
      <c r="AJ142" s="537"/>
      <c r="AN142" s="538"/>
      <c r="AO142" s="538"/>
      <c r="AP142" s="538"/>
      <c r="AQ142" s="538"/>
      <c r="AR142" s="538"/>
      <c r="AS142" s="538"/>
    </row>
    <row r="143" spans="1:45" x14ac:dyDescent="0.2">
      <c r="A143" s="533" t="s">
        <v>63</v>
      </c>
      <c r="B143" s="533">
        <v>2500</v>
      </c>
      <c r="C143" s="533">
        <v>1000</v>
      </c>
      <c r="D143" s="533" t="str">
        <f t="shared" si="7"/>
        <v>KVX25001000</v>
      </c>
      <c r="E143" s="907">
        <f t="shared" si="6"/>
        <v>1242.3920039499999</v>
      </c>
      <c r="F143" s="534">
        <v>14</v>
      </c>
      <c r="G143" s="535">
        <f>F143*CCBASE!$B$51</f>
        <v>504</v>
      </c>
      <c r="H143" s="535">
        <f>CCBASE!$I$12*B143/1000</f>
        <v>299.12634325000005</v>
      </c>
      <c r="I143" s="535"/>
      <c r="J143" s="535"/>
      <c r="K143" s="535"/>
      <c r="L143" s="534"/>
      <c r="M143" s="535">
        <f>CCBASE!$I$15*B143/1000</f>
        <v>199.61471250000002</v>
      </c>
      <c r="N143" s="535"/>
      <c r="O143" s="535"/>
      <c r="P143" s="535"/>
      <c r="Q143" s="535">
        <f>CCBASE!$I$51</f>
        <v>2.9</v>
      </c>
      <c r="R143" s="535">
        <f>CCBASE!$I$4</f>
        <v>8.3986041999999994</v>
      </c>
      <c r="S143" s="535">
        <f>CCBASE!$I$8</f>
        <v>16.25526</v>
      </c>
      <c r="T143" s="534"/>
      <c r="U143" s="535"/>
      <c r="V143" s="535"/>
      <c r="W143" s="535">
        <f>CCBASE!$I$40*B143/1000</f>
        <v>103.27009999999999</v>
      </c>
      <c r="X143" s="535"/>
      <c r="Y143" s="535"/>
      <c r="Z143" s="535"/>
      <c r="AA143" s="535"/>
      <c r="AB143" s="535"/>
      <c r="AC143" s="535"/>
      <c r="AD143" s="535">
        <f>CCBASE!$I$32*2</f>
        <v>108.826984</v>
      </c>
      <c r="AI143" s="537"/>
      <c r="AJ143" s="537"/>
      <c r="AN143" s="538"/>
      <c r="AO143" s="538"/>
      <c r="AP143" s="538"/>
      <c r="AQ143" s="538"/>
      <c r="AR143" s="538"/>
      <c r="AS143" s="538"/>
    </row>
    <row r="144" spans="1:45" x14ac:dyDescent="0.2">
      <c r="A144" s="533" t="s">
        <v>63</v>
      </c>
      <c r="B144" s="533">
        <v>2750</v>
      </c>
      <c r="C144" s="533">
        <v>1000</v>
      </c>
      <c r="D144" s="533" t="str">
        <f t="shared" si="7"/>
        <v>KVX27501000</v>
      </c>
      <c r="E144" s="907">
        <f t="shared" si="6"/>
        <v>1302.5931195249998</v>
      </c>
      <c r="F144" s="534">
        <v>14</v>
      </c>
      <c r="G144" s="535">
        <f>F144*CCBASE!$B$51</f>
        <v>504</v>
      </c>
      <c r="H144" s="535">
        <f>CCBASE!$I$12*B144/1000</f>
        <v>329.03897757500005</v>
      </c>
      <c r="I144" s="535"/>
      <c r="J144" s="535"/>
      <c r="K144" s="535"/>
      <c r="L144" s="534"/>
      <c r="M144" s="535">
        <f>CCBASE!$I$15*B144/1000</f>
        <v>219.57618375000001</v>
      </c>
      <c r="N144" s="535"/>
      <c r="O144" s="535"/>
      <c r="P144" s="535"/>
      <c r="Q144" s="535">
        <f>CCBASE!$I$51</f>
        <v>2.9</v>
      </c>
      <c r="R144" s="535">
        <f>CCBASE!$I$4</f>
        <v>8.3986041999999994</v>
      </c>
      <c r="S144" s="535">
        <f>CCBASE!$I$8</f>
        <v>16.25526</v>
      </c>
      <c r="T144" s="534"/>
      <c r="U144" s="535"/>
      <c r="V144" s="535"/>
      <c r="W144" s="535">
        <f>CCBASE!$I$40*B144/1000</f>
        <v>113.59711</v>
      </c>
      <c r="X144" s="535"/>
      <c r="Y144" s="535"/>
      <c r="Z144" s="535"/>
      <c r="AA144" s="535"/>
      <c r="AB144" s="535"/>
      <c r="AC144" s="535"/>
      <c r="AD144" s="535">
        <f>CCBASE!$I$32*2</f>
        <v>108.826984</v>
      </c>
      <c r="AI144" s="537"/>
      <c r="AJ144" s="537"/>
      <c r="AN144" s="538"/>
      <c r="AO144" s="538"/>
      <c r="AP144" s="538"/>
      <c r="AQ144" s="538"/>
      <c r="AR144" s="538"/>
      <c r="AS144" s="538"/>
    </row>
    <row r="145" spans="1:45" x14ac:dyDescent="0.2">
      <c r="A145" s="533" t="s">
        <v>63</v>
      </c>
      <c r="B145" s="533">
        <v>3000</v>
      </c>
      <c r="C145" s="533">
        <v>1000</v>
      </c>
      <c r="D145" s="533" t="str">
        <f t="shared" si="7"/>
        <v>KVX30001000</v>
      </c>
      <c r="E145" s="907">
        <f t="shared" si="6"/>
        <v>1362.7942350999999</v>
      </c>
      <c r="F145" s="534">
        <v>14</v>
      </c>
      <c r="G145" s="535">
        <f>F145*CCBASE!$B$51</f>
        <v>504</v>
      </c>
      <c r="H145" s="535">
        <f>CCBASE!$I$12*B145/1000</f>
        <v>358.95161190000005</v>
      </c>
      <c r="I145" s="535"/>
      <c r="J145" s="535"/>
      <c r="K145" s="535"/>
      <c r="L145" s="534"/>
      <c r="M145" s="535">
        <f>CCBASE!$I$15*B145/1000</f>
        <v>239.53765500000003</v>
      </c>
      <c r="N145" s="535"/>
      <c r="O145" s="535"/>
      <c r="P145" s="535"/>
      <c r="Q145" s="535">
        <f>CCBASE!$I$51</f>
        <v>2.9</v>
      </c>
      <c r="R145" s="535">
        <f>CCBASE!$I$4</f>
        <v>8.3986041999999994</v>
      </c>
      <c r="S145" s="535">
        <f>CCBASE!$I$8</f>
        <v>16.25526</v>
      </c>
      <c r="T145" s="534"/>
      <c r="U145" s="535"/>
      <c r="V145" s="535"/>
      <c r="W145" s="535">
        <f>CCBASE!$I$40*B145/1000</f>
        <v>123.92412</v>
      </c>
      <c r="X145" s="535"/>
      <c r="Y145" s="535"/>
      <c r="Z145" s="535"/>
      <c r="AA145" s="535"/>
      <c r="AB145" s="535"/>
      <c r="AC145" s="535"/>
      <c r="AD145" s="535">
        <f>CCBASE!$I$32*2</f>
        <v>108.826984</v>
      </c>
      <c r="AI145" s="537"/>
      <c r="AJ145" s="537"/>
      <c r="AN145" s="538"/>
      <c r="AO145" s="538"/>
      <c r="AP145" s="538"/>
      <c r="AQ145" s="538"/>
      <c r="AR145" s="538"/>
      <c r="AS145" s="538"/>
    </row>
    <row r="146" spans="1:45" x14ac:dyDescent="0.2">
      <c r="A146" s="533" t="s">
        <v>63</v>
      </c>
      <c r="B146" s="533">
        <v>1000</v>
      </c>
      <c r="C146" s="533">
        <v>1250</v>
      </c>
      <c r="D146" s="533" t="str">
        <f t="shared" si="7"/>
        <v>KVX10001250</v>
      </c>
      <c r="E146" s="907">
        <f t="shared" si="6"/>
        <v>845.18531050000001</v>
      </c>
      <c r="F146" s="534">
        <v>13</v>
      </c>
      <c r="G146" s="535">
        <f>F146*CCBASE!$B$51</f>
        <v>468</v>
      </c>
      <c r="H146" s="535">
        <f>CCBASE!$I$12*B146/1000</f>
        <v>119.65053730000001</v>
      </c>
      <c r="I146" s="535"/>
      <c r="J146" s="535"/>
      <c r="K146" s="535"/>
      <c r="L146" s="534"/>
      <c r="M146" s="535">
        <f>CCBASE!$I$15*B146/1000</f>
        <v>79.84588500000001</v>
      </c>
      <c r="N146" s="535"/>
      <c r="O146" s="535"/>
      <c r="P146" s="535"/>
      <c r="Q146" s="535">
        <f>CCBASE!$I$51</f>
        <v>2.9</v>
      </c>
      <c r="R146" s="535">
        <f>CCBASE!$I$4</f>
        <v>8.3986041999999994</v>
      </c>
      <c r="S146" s="535">
        <f>CCBASE!$I$8</f>
        <v>16.25526</v>
      </c>
      <c r="T146" s="534"/>
      <c r="U146" s="535"/>
      <c r="V146" s="535"/>
      <c r="W146" s="535">
        <f>CCBASE!$I$40*B146/1000</f>
        <v>41.308039999999998</v>
      </c>
      <c r="X146" s="535"/>
      <c r="Y146" s="535"/>
      <c r="Z146" s="535"/>
      <c r="AA146" s="535"/>
      <c r="AB146" s="535"/>
      <c r="AC146" s="535"/>
      <c r="AD146" s="535">
        <f>CCBASE!$I$32*2</f>
        <v>108.826984</v>
      </c>
      <c r="AI146" s="537"/>
      <c r="AJ146" s="537"/>
      <c r="AK146" s="538"/>
      <c r="AL146" s="538"/>
      <c r="AM146" s="538"/>
      <c r="AN146" s="538"/>
      <c r="AO146" s="538"/>
      <c r="AP146" s="538"/>
      <c r="AQ146" s="538"/>
      <c r="AR146" s="538"/>
      <c r="AS146" s="538"/>
    </row>
    <row r="147" spans="1:45" x14ac:dyDescent="0.2">
      <c r="A147" s="533" t="s">
        <v>63</v>
      </c>
      <c r="B147" s="533">
        <v>1250</v>
      </c>
      <c r="C147" s="533">
        <v>1250</v>
      </c>
      <c r="D147" s="533" t="str">
        <f t="shared" si="7"/>
        <v>KVX12501250</v>
      </c>
      <c r="E147" s="907">
        <f t="shared" si="6"/>
        <v>905.38642607500003</v>
      </c>
      <c r="F147" s="534">
        <v>13</v>
      </c>
      <c r="G147" s="535">
        <f>F147*CCBASE!$B$51</f>
        <v>468</v>
      </c>
      <c r="H147" s="535">
        <f>CCBASE!$I$12*B147/1000</f>
        <v>149.56317162500002</v>
      </c>
      <c r="I147" s="535"/>
      <c r="J147" s="535"/>
      <c r="K147" s="535"/>
      <c r="L147" s="534"/>
      <c r="M147" s="535">
        <f>CCBASE!$I$15*B147/1000</f>
        <v>99.807356250000012</v>
      </c>
      <c r="N147" s="535"/>
      <c r="O147" s="535"/>
      <c r="P147" s="535"/>
      <c r="Q147" s="535">
        <f>CCBASE!$I$51</f>
        <v>2.9</v>
      </c>
      <c r="R147" s="535">
        <f>CCBASE!$I$4</f>
        <v>8.3986041999999994</v>
      </c>
      <c r="S147" s="535">
        <f>CCBASE!$I$8</f>
        <v>16.25526</v>
      </c>
      <c r="T147" s="534"/>
      <c r="U147" s="535"/>
      <c r="V147" s="535"/>
      <c r="W147" s="535">
        <f>CCBASE!$I$40*B147/1000</f>
        <v>51.635049999999993</v>
      </c>
      <c r="X147" s="535"/>
      <c r="Y147" s="535"/>
      <c r="Z147" s="535"/>
      <c r="AA147" s="535"/>
      <c r="AB147" s="535"/>
      <c r="AC147" s="535"/>
      <c r="AD147" s="535">
        <f>CCBASE!$I$32*2</f>
        <v>108.826984</v>
      </c>
      <c r="AI147" s="537"/>
      <c r="AJ147" s="537"/>
      <c r="AK147" s="538"/>
      <c r="AL147" s="538"/>
      <c r="AM147" s="538"/>
      <c r="AN147" s="538"/>
      <c r="AO147" s="538"/>
      <c r="AP147" s="538"/>
      <c r="AQ147" s="538"/>
      <c r="AR147" s="538"/>
      <c r="AS147" s="538"/>
    </row>
    <row r="148" spans="1:45" x14ac:dyDescent="0.2">
      <c r="A148" s="533" t="s">
        <v>63</v>
      </c>
      <c r="B148" s="533">
        <v>1500</v>
      </c>
      <c r="C148" s="533">
        <v>1250</v>
      </c>
      <c r="D148" s="533" t="str">
        <f t="shared" si="7"/>
        <v>KVX15001250</v>
      </c>
      <c r="E148" s="907">
        <f t="shared" si="6"/>
        <v>965.58754165000005</v>
      </c>
      <c r="F148" s="534">
        <v>13</v>
      </c>
      <c r="G148" s="535">
        <f>F148*CCBASE!$B$51</f>
        <v>468</v>
      </c>
      <c r="H148" s="535">
        <f>CCBASE!$I$12*B148/1000</f>
        <v>179.47580595000002</v>
      </c>
      <c r="I148" s="535"/>
      <c r="J148" s="535"/>
      <c r="K148" s="535"/>
      <c r="L148" s="534"/>
      <c r="M148" s="535">
        <f>CCBASE!$I$15*B148/1000</f>
        <v>119.76882750000001</v>
      </c>
      <c r="N148" s="535"/>
      <c r="O148" s="535"/>
      <c r="P148" s="535"/>
      <c r="Q148" s="535">
        <f>CCBASE!$I$51</f>
        <v>2.9</v>
      </c>
      <c r="R148" s="535">
        <f>CCBASE!$I$4</f>
        <v>8.3986041999999994</v>
      </c>
      <c r="S148" s="535">
        <f>CCBASE!$I$8</f>
        <v>16.25526</v>
      </c>
      <c r="T148" s="534"/>
      <c r="U148" s="535"/>
      <c r="V148" s="535"/>
      <c r="W148" s="535">
        <f>CCBASE!$I$40*B148/1000</f>
        <v>61.962060000000001</v>
      </c>
      <c r="X148" s="535"/>
      <c r="Y148" s="535"/>
      <c r="Z148" s="535"/>
      <c r="AA148" s="535"/>
      <c r="AB148" s="535"/>
      <c r="AC148" s="535"/>
      <c r="AD148" s="535">
        <f>CCBASE!$I$32*2</f>
        <v>108.826984</v>
      </c>
      <c r="AI148" s="537"/>
      <c r="AJ148" s="537"/>
      <c r="AK148" s="538"/>
      <c r="AL148" s="538"/>
      <c r="AM148" s="538"/>
      <c r="AN148" s="538"/>
      <c r="AO148" s="538"/>
      <c r="AP148" s="538"/>
      <c r="AQ148" s="538"/>
      <c r="AR148" s="538"/>
      <c r="AS148" s="538"/>
    </row>
    <row r="149" spans="1:45" x14ac:dyDescent="0.2">
      <c r="A149" s="533" t="s">
        <v>63</v>
      </c>
      <c r="B149" s="533">
        <v>1750</v>
      </c>
      <c r="C149" s="533">
        <v>1250</v>
      </c>
      <c r="D149" s="533" t="str">
        <f t="shared" si="7"/>
        <v>KVX17501250</v>
      </c>
      <c r="E149" s="907">
        <f t="shared" si="6"/>
        <v>1025.788657225</v>
      </c>
      <c r="F149" s="534">
        <v>13</v>
      </c>
      <c r="G149" s="535">
        <f>F149*CCBASE!$B$51</f>
        <v>468</v>
      </c>
      <c r="H149" s="535">
        <f>CCBASE!$I$12*B149/1000</f>
        <v>209.38844027500002</v>
      </c>
      <c r="I149" s="535"/>
      <c r="J149" s="535"/>
      <c r="K149" s="535"/>
      <c r="L149" s="534"/>
      <c r="M149" s="535">
        <f>CCBASE!$I$15*B149/1000</f>
        <v>139.73029875</v>
      </c>
      <c r="N149" s="535"/>
      <c r="O149" s="535"/>
      <c r="P149" s="535"/>
      <c r="Q149" s="535">
        <f>CCBASE!$I$51</f>
        <v>2.9</v>
      </c>
      <c r="R149" s="535">
        <f>CCBASE!$I$4</f>
        <v>8.3986041999999994</v>
      </c>
      <c r="S149" s="535">
        <f>CCBASE!$I$8</f>
        <v>16.25526</v>
      </c>
      <c r="T149" s="534"/>
      <c r="U149" s="535"/>
      <c r="V149" s="535"/>
      <c r="W149" s="535">
        <f>CCBASE!$I$40*B149/1000</f>
        <v>72.289069999999995</v>
      </c>
      <c r="X149" s="535"/>
      <c r="Y149" s="535"/>
      <c r="Z149" s="535"/>
      <c r="AA149" s="535"/>
      <c r="AB149" s="535"/>
      <c r="AC149" s="535"/>
      <c r="AD149" s="535">
        <f>CCBASE!$I$32*2</f>
        <v>108.826984</v>
      </c>
      <c r="AI149" s="537"/>
      <c r="AJ149" s="537"/>
      <c r="AN149" s="538"/>
      <c r="AO149" s="538"/>
      <c r="AP149" s="538"/>
      <c r="AQ149" s="538"/>
      <c r="AR149" s="538"/>
      <c r="AS149" s="538"/>
    </row>
    <row r="150" spans="1:45" x14ac:dyDescent="0.2">
      <c r="A150" s="533" t="s">
        <v>63</v>
      </c>
      <c r="B150" s="533">
        <v>2000</v>
      </c>
      <c r="C150" s="533">
        <v>1250</v>
      </c>
      <c r="D150" s="533" t="str">
        <f t="shared" si="7"/>
        <v>KVX20001250</v>
      </c>
      <c r="E150" s="907">
        <f t="shared" si="6"/>
        <v>1085.9897728000001</v>
      </c>
      <c r="F150" s="534">
        <v>13</v>
      </c>
      <c r="G150" s="535">
        <f>F150*CCBASE!$B$51</f>
        <v>468</v>
      </c>
      <c r="H150" s="535">
        <f>CCBASE!$I$12*B150/1000</f>
        <v>239.30107460000002</v>
      </c>
      <c r="I150" s="535"/>
      <c r="J150" s="535"/>
      <c r="K150" s="535"/>
      <c r="L150" s="534"/>
      <c r="M150" s="535">
        <f>CCBASE!$I$15*B150/1000</f>
        <v>159.69177000000002</v>
      </c>
      <c r="N150" s="535"/>
      <c r="O150" s="535"/>
      <c r="P150" s="535"/>
      <c r="Q150" s="535">
        <f>CCBASE!$I$51</f>
        <v>2.9</v>
      </c>
      <c r="R150" s="535">
        <f>CCBASE!$I$4</f>
        <v>8.3986041999999994</v>
      </c>
      <c r="S150" s="535">
        <f>CCBASE!$I$8</f>
        <v>16.25526</v>
      </c>
      <c r="T150" s="534"/>
      <c r="U150" s="535"/>
      <c r="V150" s="535"/>
      <c r="W150" s="535">
        <f>CCBASE!$I$40*B150/1000</f>
        <v>82.616079999999997</v>
      </c>
      <c r="X150" s="535"/>
      <c r="Y150" s="535"/>
      <c r="Z150" s="535"/>
      <c r="AA150" s="535"/>
      <c r="AB150" s="535"/>
      <c r="AC150" s="535"/>
      <c r="AD150" s="535">
        <f>CCBASE!$I$32*2</f>
        <v>108.826984</v>
      </c>
      <c r="AI150" s="537"/>
      <c r="AJ150" s="537"/>
      <c r="AN150" s="538"/>
      <c r="AO150" s="538"/>
      <c r="AP150" s="538"/>
      <c r="AQ150" s="538"/>
      <c r="AR150" s="538"/>
      <c r="AS150" s="538"/>
    </row>
    <row r="151" spans="1:45" x14ac:dyDescent="0.2">
      <c r="A151" s="533" t="s">
        <v>63</v>
      </c>
      <c r="B151" s="533">
        <v>2250</v>
      </c>
      <c r="C151" s="533">
        <v>1250</v>
      </c>
      <c r="D151" s="533" t="str">
        <f t="shared" si="7"/>
        <v>KVX22501250</v>
      </c>
      <c r="E151" s="907">
        <f t="shared" si="6"/>
        <v>1182.1908883750002</v>
      </c>
      <c r="F151" s="534">
        <v>14</v>
      </c>
      <c r="G151" s="535">
        <f>F151*CCBASE!$B$51</f>
        <v>504</v>
      </c>
      <c r="H151" s="535">
        <f>CCBASE!$I$12*B151/1000</f>
        <v>269.21370892500005</v>
      </c>
      <c r="I151" s="535"/>
      <c r="J151" s="535"/>
      <c r="K151" s="535"/>
      <c r="L151" s="534"/>
      <c r="M151" s="535">
        <f>CCBASE!$I$15*B151/1000</f>
        <v>179.65324125000001</v>
      </c>
      <c r="N151" s="535"/>
      <c r="O151" s="535"/>
      <c r="P151" s="535"/>
      <c r="Q151" s="535">
        <f>CCBASE!$I$51</f>
        <v>2.9</v>
      </c>
      <c r="R151" s="535">
        <f>CCBASE!$I$4</f>
        <v>8.3986041999999994</v>
      </c>
      <c r="S151" s="535">
        <f>CCBASE!$I$8</f>
        <v>16.25526</v>
      </c>
      <c r="T151" s="534"/>
      <c r="U151" s="535"/>
      <c r="V151" s="535"/>
      <c r="W151" s="535">
        <f>CCBASE!$I$40*B151/1000</f>
        <v>92.943089999999998</v>
      </c>
      <c r="X151" s="535"/>
      <c r="Y151" s="535"/>
      <c r="Z151" s="535"/>
      <c r="AA151" s="535"/>
      <c r="AB151" s="535"/>
      <c r="AC151" s="535"/>
      <c r="AD151" s="535">
        <f>CCBASE!$I$32*2</f>
        <v>108.826984</v>
      </c>
      <c r="AI151" s="537"/>
      <c r="AJ151" s="537"/>
      <c r="AN151" s="538"/>
      <c r="AO151" s="538"/>
      <c r="AP151" s="538"/>
      <c r="AQ151" s="538"/>
      <c r="AR151" s="538"/>
      <c r="AS151" s="538"/>
    </row>
    <row r="152" spans="1:45" x14ac:dyDescent="0.2">
      <c r="A152" s="533" t="s">
        <v>63</v>
      </c>
      <c r="B152" s="533">
        <v>2500</v>
      </c>
      <c r="C152" s="533">
        <v>1250</v>
      </c>
      <c r="D152" s="533" t="str">
        <f t="shared" si="7"/>
        <v>KVX25001250</v>
      </c>
      <c r="E152" s="907">
        <f t="shared" si="6"/>
        <v>1242.3920039499999</v>
      </c>
      <c r="F152" s="534">
        <v>14</v>
      </c>
      <c r="G152" s="535">
        <f>F152*CCBASE!$B$51</f>
        <v>504</v>
      </c>
      <c r="H152" s="535">
        <f>CCBASE!$I$12*B152/1000</f>
        <v>299.12634325000005</v>
      </c>
      <c r="I152" s="535"/>
      <c r="J152" s="535"/>
      <c r="K152" s="535"/>
      <c r="L152" s="534"/>
      <c r="M152" s="535">
        <f>CCBASE!$I$15*B152/1000</f>
        <v>199.61471250000002</v>
      </c>
      <c r="N152" s="535"/>
      <c r="O152" s="535"/>
      <c r="P152" s="535"/>
      <c r="Q152" s="535">
        <f>CCBASE!$I$51</f>
        <v>2.9</v>
      </c>
      <c r="R152" s="535">
        <f>CCBASE!$I$4</f>
        <v>8.3986041999999994</v>
      </c>
      <c r="S152" s="535">
        <f>CCBASE!$I$8</f>
        <v>16.25526</v>
      </c>
      <c r="T152" s="534"/>
      <c r="U152" s="535"/>
      <c r="V152" s="535"/>
      <c r="W152" s="535">
        <f>CCBASE!$I$40*B152/1000</f>
        <v>103.27009999999999</v>
      </c>
      <c r="X152" s="535"/>
      <c r="Y152" s="535"/>
      <c r="Z152" s="535"/>
      <c r="AA152" s="535"/>
      <c r="AB152" s="535"/>
      <c r="AC152" s="535"/>
      <c r="AD152" s="535">
        <f>CCBASE!$I$32*2</f>
        <v>108.826984</v>
      </c>
      <c r="AI152" s="537"/>
      <c r="AJ152" s="537"/>
      <c r="AN152" s="538"/>
      <c r="AO152" s="538"/>
      <c r="AP152" s="538"/>
      <c r="AQ152" s="538"/>
      <c r="AR152" s="538"/>
      <c r="AS152" s="538"/>
    </row>
    <row r="153" spans="1:45" x14ac:dyDescent="0.2">
      <c r="A153" s="533" t="s">
        <v>63</v>
      </c>
      <c r="B153" s="533">
        <v>2750</v>
      </c>
      <c r="C153" s="533">
        <v>1250</v>
      </c>
      <c r="D153" s="533" t="str">
        <f t="shared" si="7"/>
        <v>KVX27501250</v>
      </c>
      <c r="E153" s="907">
        <f t="shared" si="6"/>
        <v>1302.5931195249998</v>
      </c>
      <c r="F153" s="534">
        <v>14</v>
      </c>
      <c r="G153" s="535">
        <f>F153*CCBASE!$B$51</f>
        <v>504</v>
      </c>
      <c r="H153" s="535">
        <f>CCBASE!$I$12*B153/1000</f>
        <v>329.03897757500005</v>
      </c>
      <c r="I153" s="535"/>
      <c r="J153" s="535"/>
      <c r="K153" s="535"/>
      <c r="L153" s="534"/>
      <c r="M153" s="535">
        <f>CCBASE!$I$15*B153/1000</f>
        <v>219.57618375000001</v>
      </c>
      <c r="N153" s="535"/>
      <c r="O153" s="535"/>
      <c r="P153" s="535"/>
      <c r="Q153" s="535">
        <f>CCBASE!$I$51</f>
        <v>2.9</v>
      </c>
      <c r="R153" s="535">
        <f>CCBASE!$I$4</f>
        <v>8.3986041999999994</v>
      </c>
      <c r="S153" s="535">
        <f>CCBASE!$I$8</f>
        <v>16.25526</v>
      </c>
      <c r="T153" s="534"/>
      <c r="U153" s="535"/>
      <c r="V153" s="535"/>
      <c r="W153" s="535">
        <f>CCBASE!$I$40*B153/1000</f>
        <v>113.59711</v>
      </c>
      <c r="X153" s="535"/>
      <c r="Y153" s="535"/>
      <c r="Z153" s="535"/>
      <c r="AA153" s="535"/>
      <c r="AB153" s="535"/>
      <c r="AC153" s="535"/>
      <c r="AD153" s="535">
        <f>CCBASE!$I$32*2</f>
        <v>108.826984</v>
      </c>
      <c r="AI153" s="537"/>
      <c r="AJ153" s="537"/>
      <c r="AN153" s="538"/>
      <c r="AO153" s="538"/>
      <c r="AP153" s="538"/>
      <c r="AQ153" s="538"/>
      <c r="AR153" s="538"/>
      <c r="AS153" s="538"/>
    </row>
    <row r="154" spans="1:45" x14ac:dyDescent="0.2">
      <c r="A154" s="533" t="s">
        <v>63</v>
      </c>
      <c r="B154" s="533">
        <v>3000</v>
      </c>
      <c r="C154" s="533">
        <v>1250</v>
      </c>
      <c r="D154" s="533" t="str">
        <f t="shared" si="7"/>
        <v>KVX30001250</v>
      </c>
      <c r="E154" s="907">
        <f t="shared" si="6"/>
        <v>1362.7942350999999</v>
      </c>
      <c r="F154" s="534">
        <v>14</v>
      </c>
      <c r="G154" s="535">
        <f>F154*CCBASE!$B$51</f>
        <v>504</v>
      </c>
      <c r="H154" s="535">
        <f>CCBASE!$I$12*B154/1000</f>
        <v>358.95161190000005</v>
      </c>
      <c r="I154" s="535"/>
      <c r="J154" s="535"/>
      <c r="K154" s="535"/>
      <c r="L154" s="534"/>
      <c r="M154" s="535">
        <f>CCBASE!$I$15*B154/1000</f>
        <v>239.53765500000003</v>
      </c>
      <c r="N154" s="535"/>
      <c r="O154" s="535"/>
      <c r="P154" s="535"/>
      <c r="Q154" s="535">
        <f>CCBASE!$I$51</f>
        <v>2.9</v>
      </c>
      <c r="R154" s="535">
        <f>CCBASE!$I$4</f>
        <v>8.3986041999999994</v>
      </c>
      <c r="S154" s="535">
        <f>CCBASE!$I$8</f>
        <v>16.25526</v>
      </c>
      <c r="T154" s="534"/>
      <c r="U154" s="535"/>
      <c r="V154" s="535"/>
      <c r="W154" s="535">
        <f>CCBASE!$I$40*B154/1000</f>
        <v>123.92412</v>
      </c>
      <c r="X154" s="535"/>
      <c r="Y154" s="535"/>
      <c r="Z154" s="535"/>
      <c r="AA154" s="535"/>
      <c r="AB154" s="535"/>
      <c r="AC154" s="535"/>
      <c r="AD154" s="535">
        <f>CCBASE!$I$32*2</f>
        <v>108.826984</v>
      </c>
      <c r="AI154" s="537"/>
      <c r="AJ154" s="537"/>
      <c r="AN154" s="538"/>
      <c r="AO154" s="538"/>
      <c r="AP154" s="538"/>
      <c r="AQ154" s="538"/>
      <c r="AR154" s="538"/>
      <c r="AS154" s="538"/>
    </row>
    <row r="155" spans="1:45" x14ac:dyDescent="0.2">
      <c r="A155" s="533" t="s">
        <v>63</v>
      </c>
      <c r="B155" s="533">
        <v>1000</v>
      </c>
      <c r="C155" s="533">
        <v>1500</v>
      </c>
      <c r="D155" s="533" t="str">
        <f t="shared" si="7"/>
        <v>KVX10001500</v>
      </c>
      <c r="E155" s="907">
        <f t="shared" si="6"/>
        <v>890.13558649999993</v>
      </c>
      <c r="F155" s="534">
        <v>13</v>
      </c>
      <c r="G155" s="535">
        <f>F155*CCBASE!$B$51</f>
        <v>468</v>
      </c>
      <c r="H155" s="535">
        <f>CCBASE!$I$12*B155/1000</f>
        <v>119.65053730000001</v>
      </c>
      <c r="I155" s="535"/>
      <c r="J155" s="535"/>
      <c r="K155" s="535"/>
      <c r="L155" s="534"/>
      <c r="M155" s="535">
        <f>CCBASE!$I$15*B155/1000</f>
        <v>79.84588500000001</v>
      </c>
      <c r="N155" s="535"/>
      <c r="O155" s="535"/>
      <c r="P155" s="535"/>
      <c r="Q155" s="535">
        <f>CCBASE!$I$51</f>
        <v>2.9</v>
      </c>
      <c r="R155" s="535">
        <f>CCBASE!$I$4</f>
        <v>8.3986041999999994</v>
      </c>
      <c r="S155" s="535">
        <f>CCBASE!$I$8</f>
        <v>16.25526</v>
      </c>
      <c r="T155" s="534"/>
      <c r="U155" s="535"/>
      <c r="V155" s="535"/>
      <c r="W155" s="535">
        <f>CCBASE!$I$41*B155/1000</f>
        <v>59.051569999999998</v>
      </c>
      <c r="X155" s="535"/>
      <c r="Y155" s="535"/>
      <c r="Z155" s="535"/>
      <c r="AA155" s="535"/>
      <c r="AB155" s="535"/>
      <c r="AC155" s="535"/>
      <c r="AD155" s="535">
        <f>CCBASE!$I$33*2</f>
        <v>136.03372999999999</v>
      </c>
      <c r="AI155" s="537"/>
      <c r="AJ155" s="537"/>
      <c r="AN155" s="538"/>
      <c r="AO155" s="538"/>
      <c r="AP155" s="538"/>
      <c r="AQ155" s="538"/>
      <c r="AR155" s="538"/>
      <c r="AS155" s="538"/>
    </row>
    <row r="156" spans="1:45" x14ac:dyDescent="0.2">
      <c r="A156" s="533" t="s">
        <v>63</v>
      </c>
      <c r="B156" s="533">
        <v>1250</v>
      </c>
      <c r="C156" s="533">
        <v>1500</v>
      </c>
      <c r="D156" s="533" t="str">
        <f t="shared" si="7"/>
        <v>KVX12501500</v>
      </c>
      <c r="E156" s="907">
        <f t="shared" si="6"/>
        <v>954.772584575</v>
      </c>
      <c r="F156" s="534">
        <v>13</v>
      </c>
      <c r="G156" s="535">
        <f>F156*CCBASE!$B$51</f>
        <v>468</v>
      </c>
      <c r="H156" s="535">
        <f>CCBASE!$I$12*B156/1000</f>
        <v>149.56317162500002</v>
      </c>
      <c r="I156" s="535"/>
      <c r="J156" s="535"/>
      <c r="K156" s="535"/>
      <c r="L156" s="534"/>
      <c r="M156" s="535">
        <f>CCBASE!$I$15*B156/1000</f>
        <v>99.807356250000012</v>
      </c>
      <c r="N156" s="535"/>
      <c r="O156" s="535"/>
      <c r="P156" s="535"/>
      <c r="Q156" s="535">
        <f>CCBASE!$I$51</f>
        <v>2.9</v>
      </c>
      <c r="R156" s="535">
        <f>CCBASE!$I$4</f>
        <v>8.3986041999999994</v>
      </c>
      <c r="S156" s="535">
        <f>CCBASE!$I$8</f>
        <v>16.25526</v>
      </c>
      <c r="T156" s="534"/>
      <c r="U156" s="535"/>
      <c r="V156" s="535"/>
      <c r="W156" s="535">
        <f>CCBASE!$I$41*B156/1000</f>
        <v>73.814462499999991</v>
      </c>
      <c r="X156" s="535"/>
      <c r="Y156" s="535"/>
      <c r="Z156" s="535"/>
      <c r="AA156" s="535"/>
      <c r="AB156" s="535"/>
      <c r="AC156" s="535"/>
      <c r="AD156" s="535">
        <f>CCBASE!$I$33*2</f>
        <v>136.03372999999999</v>
      </c>
      <c r="AI156" s="537"/>
      <c r="AJ156" s="537"/>
      <c r="AK156" s="538"/>
      <c r="AL156" s="538"/>
      <c r="AM156" s="538"/>
      <c r="AN156" s="538"/>
      <c r="AO156" s="538"/>
      <c r="AP156" s="538"/>
      <c r="AQ156" s="538"/>
      <c r="AR156" s="538"/>
      <c r="AS156" s="538"/>
    </row>
    <row r="157" spans="1:45" x14ac:dyDescent="0.2">
      <c r="A157" s="533" t="s">
        <v>63</v>
      </c>
      <c r="B157" s="533">
        <v>1500</v>
      </c>
      <c r="C157" s="533">
        <v>1500</v>
      </c>
      <c r="D157" s="533" t="str">
        <f t="shared" si="7"/>
        <v>KVX15001500</v>
      </c>
      <c r="E157" s="907">
        <f t="shared" si="6"/>
        <v>1019.4095826500001</v>
      </c>
      <c r="F157" s="534">
        <v>13</v>
      </c>
      <c r="G157" s="535">
        <f>F157*CCBASE!$B$51</f>
        <v>468</v>
      </c>
      <c r="H157" s="535">
        <f>CCBASE!$I$12*B157/1000</f>
        <v>179.47580595000002</v>
      </c>
      <c r="I157" s="535"/>
      <c r="J157" s="535"/>
      <c r="K157" s="535"/>
      <c r="L157" s="534"/>
      <c r="M157" s="535">
        <f>CCBASE!$I$15*B157/1000</f>
        <v>119.76882750000001</v>
      </c>
      <c r="N157" s="535"/>
      <c r="O157" s="535"/>
      <c r="P157" s="535"/>
      <c r="Q157" s="535">
        <f>CCBASE!$I$51</f>
        <v>2.9</v>
      </c>
      <c r="R157" s="535">
        <f>CCBASE!$I$4</f>
        <v>8.3986041999999994</v>
      </c>
      <c r="S157" s="535">
        <f>CCBASE!$I$8</f>
        <v>16.25526</v>
      </c>
      <c r="T157" s="534"/>
      <c r="U157" s="535"/>
      <c r="V157" s="535"/>
      <c r="W157" s="535">
        <f>CCBASE!$I$41*B157/1000</f>
        <v>88.577354999999997</v>
      </c>
      <c r="X157" s="535"/>
      <c r="Y157" s="535"/>
      <c r="Z157" s="535"/>
      <c r="AA157" s="535"/>
      <c r="AB157" s="535"/>
      <c r="AC157" s="535"/>
      <c r="AD157" s="535">
        <f>CCBASE!$I$33*2</f>
        <v>136.03372999999999</v>
      </c>
      <c r="AI157" s="537"/>
      <c r="AJ157" s="537"/>
      <c r="AK157" s="538"/>
      <c r="AL157" s="538"/>
      <c r="AM157" s="538"/>
      <c r="AN157" s="538"/>
      <c r="AO157" s="538"/>
      <c r="AP157" s="538"/>
      <c r="AQ157" s="538"/>
      <c r="AR157" s="538"/>
      <c r="AS157" s="538"/>
    </row>
    <row r="158" spans="1:45" x14ac:dyDescent="0.2">
      <c r="A158" s="533" t="s">
        <v>63</v>
      </c>
      <c r="B158" s="533">
        <v>1750</v>
      </c>
      <c r="C158" s="533">
        <v>1500</v>
      </c>
      <c r="D158" s="533" t="str">
        <f t="shared" si="7"/>
        <v>KVX17501500</v>
      </c>
      <c r="E158" s="907">
        <f t="shared" si="6"/>
        <v>1084.046580725</v>
      </c>
      <c r="F158" s="534">
        <v>13</v>
      </c>
      <c r="G158" s="535">
        <f>F158*CCBASE!$B$51</f>
        <v>468</v>
      </c>
      <c r="H158" s="535">
        <f>CCBASE!$I$12*B158/1000</f>
        <v>209.38844027500002</v>
      </c>
      <c r="I158" s="535"/>
      <c r="J158" s="535"/>
      <c r="K158" s="535"/>
      <c r="L158" s="534"/>
      <c r="M158" s="535">
        <f>CCBASE!$I$15*B158/1000</f>
        <v>139.73029875</v>
      </c>
      <c r="N158" s="535"/>
      <c r="O158" s="535"/>
      <c r="P158" s="535"/>
      <c r="Q158" s="535">
        <f>CCBASE!$I$51</f>
        <v>2.9</v>
      </c>
      <c r="R158" s="535">
        <f>CCBASE!$I$4</f>
        <v>8.3986041999999994</v>
      </c>
      <c r="S158" s="535">
        <f>CCBASE!$I$8</f>
        <v>16.25526</v>
      </c>
      <c r="T158" s="534"/>
      <c r="U158" s="535"/>
      <c r="V158" s="535"/>
      <c r="W158" s="535">
        <f>CCBASE!$I$41*B158/1000</f>
        <v>103.3402475</v>
      </c>
      <c r="X158" s="535"/>
      <c r="Y158" s="535"/>
      <c r="Z158" s="535"/>
      <c r="AA158" s="535"/>
      <c r="AB158" s="535"/>
      <c r="AC158" s="535"/>
      <c r="AD158" s="535">
        <f>CCBASE!$I$33*2</f>
        <v>136.03372999999999</v>
      </c>
      <c r="AI158" s="537"/>
      <c r="AJ158" s="537"/>
      <c r="AK158" s="538"/>
      <c r="AL158" s="538"/>
      <c r="AM158" s="538"/>
      <c r="AN158" s="538"/>
      <c r="AO158" s="538"/>
      <c r="AP158" s="538"/>
      <c r="AQ158" s="538"/>
      <c r="AR158" s="538"/>
      <c r="AS158" s="538"/>
    </row>
    <row r="159" spans="1:45" x14ac:dyDescent="0.2">
      <c r="A159" s="533" t="s">
        <v>63</v>
      </c>
      <c r="B159" s="533">
        <v>2000</v>
      </c>
      <c r="C159" s="533">
        <v>1500</v>
      </c>
      <c r="D159" s="533" t="str">
        <f t="shared" si="7"/>
        <v>KVX20001500</v>
      </c>
      <c r="E159" s="907">
        <f t="shared" si="6"/>
        <v>1148.6835787999999</v>
      </c>
      <c r="F159" s="534">
        <v>13</v>
      </c>
      <c r="G159" s="535">
        <f>F159*CCBASE!$B$51</f>
        <v>468</v>
      </c>
      <c r="H159" s="535">
        <f>CCBASE!$I$12*B159/1000</f>
        <v>239.30107460000002</v>
      </c>
      <c r="I159" s="535"/>
      <c r="J159" s="535"/>
      <c r="K159" s="535"/>
      <c r="L159" s="534"/>
      <c r="M159" s="535">
        <f>CCBASE!$I$15*B159/1000</f>
        <v>159.69177000000002</v>
      </c>
      <c r="N159" s="535"/>
      <c r="O159" s="535"/>
      <c r="P159" s="535"/>
      <c r="Q159" s="535">
        <f>CCBASE!$I$51</f>
        <v>2.9</v>
      </c>
      <c r="R159" s="535">
        <f>CCBASE!$I$4</f>
        <v>8.3986041999999994</v>
      </c>
      <c r="S159" s="535">
        <f>CCBASE!$I$8</f>
        <v>16.25526</v>
      </c>
      <c r="T159" s="534"/>
      <c r="U159" s="535"/>
      <c r="V159" s="535"/>
      <c r="W159" s="535">
        <f>CCBASE!$I$41*B159/1000</f>
        <v>118.10314</v>
      </c>
      <c r="X159" s="535"/>
      <c r="Y159" s="535"/>
      <c r="Z159" s="535"/>
      <c r="AA159" s="535"/>
      <c r="AB159" s="535"/>
      <c r="AC159" s="535"/>
      <c r="AD159" s="535">
        <f>CCBASE!$I$33*2</f>
        <v>136.03372999999999</v>
      </c>
      <c r="AI159" s="537"/>
      <c r="AJ159" s="537"/>
      <c r="AK159" s="538"/>
      <c r="AL159" s="538"/>
      <c r="AM159" s="538"/>
      <c r="AN159" s="538"/>
      <c r="AO159" s="538"/>
      <c r="AP159" s="538"/>
      <c r="AQ159" s="538"/>
      <c r="AR159" s="538"/>
      <c r="AS159" s="538"/>
    </row>
    <row r="160" spans="1:45" x14ac:dyDescent="0.2">
      <c r="A160" s="533" t="s">
        <v>63</v>
      </c>
      <c r="B160" s="533">
        <v>2250</v>
      </c>
      <c r="C160" s="533">
        <v>1500</v>
      </c>
      <c r="D160" s="533" t="str">
        <f t="shared" si="7"/>
        <v>KVX22501500</v>
      </c>
      <c r="E160" s="907">
        <f t="shared" si="6"/>
        <v>1249.3205768749999</v>
      </c>
      <c r="F160" s="534">
        <v>14</v>
      </c>
      <c r="G160" s="535">
        <f>F160*CCBASE!$B$51</f>
        <v>504</v>
      </c>
      <c r="H160" s="535">
        <f>CCBASE!$I$12*B160/1000</f>
        <v>269.21370892500005</v>
      </c>
      <c r="I160" s="535"/>
      <c r="J160" s="535"/>
      <c r="K160" s="535"/>
      <c r="L160" s="534"/>
      <c r="M160" s="535">
        <f>CCBASE!$I$15*B160/1000</f>
        <v>179.65324125000001</v>
      </c>
      <c r="N160" s="535"/>
      <c r="O160" s="535"/>
      <c r="P160" s="535"/>
      <c r="Q160" s="535">
        <f>CCBASE!$I$51</f>
        <v>2.9</v>
      </c>
      <c r="R160" s="535">
        <f>CCBASE!$I$4</f>
        <v>8.3986041999999994</v>
      </c>
      <c r="S160" s="535">
        <f>CCBASE!$I$8</f>
        <v>16.25526</v>
      </c>
      <c r="T160" s="534"/>
      <c r="U160" s="535"/>
      <c r="V160" s="535"/>
      <c r="W160" s="535">
        <f>CCBASE!$I$41*B160/1000</f>
        <v>132.86603249999999</v>
      </c>
      <c r="X160" s="535"/>
      <c r="Y160" s="535"/>
      <c r="Z160" s="535"/>
      <c r="AA160" s="535"/>
      <c r="AB160" s="535"/>
      <c r="AC160" s="535"/>
      <c r="AD160" s="535">
        <f>CCBASE!$I$33*2</f>
        <v>136.03372999999999</v>
      </c>
      <c r="AI160" s="537"/>
      <c r="AJ160" s="537"/>
      <c r="AK160" s="538"/>
      <c r="AL160" s="538"/>
      <c r="AM160" s="538"/>
      <c r="AN160" s="538"/>
      <c r="AO160" s="538"/>
      <c r="AP160" s="538"/>
      <c r="AQ160" s="538"/>
      <c r="AR160" s="538"/>
      <c r="AS160" s="538"/>
    </row>
    <row r="161" spans="1:45" x14ac:dyDescent="0.2">
      <c r="A161" s="533" t="s">
        <v>63</v>
      </c>
      <c r="B161" s="533">
        <v>2500</v>
      </c>
      <c r="C161" s="533">
        <v>1500</v>
      </c>
      <c r="D161" s="533" t="str">
        <f t="shared" si="7"/>
        <v>KVX25001500</v>
      </c>
      <c r="E161" s="907">
        <f t="shared" si="6"/>
        <v>1313.95757495</v>
      </c>
      <c r="F161" s="534">
        <v>14</v>
      </c>
      <c r="G161" s="535">
        <f>F161*CCBASE!$B$51</f>
        <v>504</v>
      </c>
      <c r="H161" s="535">
        <f>CCBASE!$I$12*B161/1000</f>
        <v>299.12634325000005</v>
      </c>
      <c r="I161" s="535"/>
      <c r="J161" s="535"/>
      <c r="K161" s="535"/>
      <c r="L161" s="534"/>
      <c r="M161" s="535">
        <f>CCBASE!$I$15*B161/1000</f>
        <v>199.61471250000002</v>
      </c>
      <c r="N161" s="535"/>
      <c r="O161" s="535"/>
      <c r="P161" s="535"/>
      <c r="Q161" s="535">
        <f>CCBASE!$I$51</f>
        <v>2.9</v>
      </c>
      <c r="R161" s="535">
        <f>CCBASE!$I$4</f>
        <v>8.3986041999999994</v>
      </c>
      <c r="S161" s="535">
        <f>CCBASE!$I$8</f>
        <v>16.25526</v>
      </c>
      <c r="T161" s="534"/>
      <c r="U161" s="535"/>
      <c r="V161" s="535"/>
      <c r="W161" s="535">
        <f>CCBASE!$I$41*B161/1000</f>
        <v>147.62892499999998</v>
      </c>
      <c r="X161" s="535"/>
      <c r="Y161" s="535"/>
      <c r="Z161" s="535"/>
      <c r="AA161" s="535"/>
      <c r="AB161" s="535"/>
      <c r="AC161" s="535"/>
      <c r="AD161" s="535">
        <f>CCBASE!$I$33*2</f>
        <v>136.03372999999999</v>
      </c>
      <c r="AI161" s="537"/>
      <c r="AJ161" s="537"/>
      <c r="AK161" s="538"/>
      <c r="AL161" s="538"/>
      <c r="AM161" s="538"/>
      <c r="AN161" s="538"/>
      <c r="AO161" s="538"/>
      <c r="AP161" s="538"/>
      <c r="AQ161" s="538"/>
      <c r="AR161" s="538"/>
      <c r="AS161" s="538"/>
    </row>
    <row r="162" spans="1:45" x14ac:dyDescent="0.2">
      <c r="A162" s="533" t="s">
        <v>63</v>
      </c>
      <c r="B162" s="533">
        <v>2750</v>
      </c>
      <c r="C162" s="533">
        <v>1500</v>
      </c>
      <c r="D162" s="533" t="str">
        <f t="shared" si="7"/>
        <v>KVX27501500</v>
      </c>
      <c r="E162" s="907">
        <f t="shared" si="6"/>
        <v>1378.594573025</v>
      </c>
      <c r="F162" s="534">
        <v>14</v>
      </c>
      <c r="G162" s="535">
        <f>F162*CCBASE!$B$51</f>
        <v>504</v>
      </c>
      <c r="H162" s="535">
        <f>CCBASE!$I$12*B162/1000</f>
        <v>329.03897757500005</v>
      </c>
      <c r="I162" s="535"/>
      <c r="J162" s="535"/>
      <c r="K162" s="535"/>
      <c r="L162" s="534"/>
      <c r="M162" s="535">
        <f>CCBASE!$I$15*B162/1000</f>
        <v>219.57618375000001</v>
      </c>
      <c r="N162" s="535"/>
      <c r="O162" s="535"/>
      <c r="P162" s="535"/>
      <c r="Q162" s="535">
        <f>CCBASE!$I$51</f>
        <v>2.9</v>
      </c>
      <c r="R162" s="535">
        <f>CCBASE!$I$4</f>
        <v>8.3986041999999994</v>
      </c>
      <c r="S162" s="535">
        <f>CCBASE!$I$8</f>
        <v>16.25526</v>
      </c>
      <c r="T162" s="534"/>
      <c r="U162" s="535"/>
      <c r="V162" s="535"/>
      <c r="W162" s="535">
        <f>CCBASE!$I$41*B162/1000</f>
        <v>162.3918175</v>
      </c>
      <c r="X162" s="535"/>
      <c r="Y162" s="535"/>
      <c r="Z162" s="535"/>
      <c r="AA162" s="535"/>
      <c r="AB162" s="535"/>
      <c r="AC162" s="535"/>
      <c r="AD162" s="535">
        <f>CCBASE!$I$33*2</f>
        <v>136.03372999999999</v>
      </c>
      <c r="AI162" s="537"/>
      <c r="AJ162" s="537"/>
      <c r="AN162" s="538"/>
      <c r="AO162" s="538"/>
      <c r="AP162" s="538"/>
      <c r="AQ162" s="538"/>
      <c r="AR162" s="538"/>
      <c r="AS162" s="538"/>
    </row>
    <row r="163" spans="1:45" x14ac:dyDescent="0.2">
      <c r="A163" s="533" t="s">
        <v>63</v>
      </c>
      <c r="B163" s="533">
        <v>3000</v>
      </c>
      <c r="C163" s="533">
        <v>1500</v>
      </c>
      <c r="D163" s="533" t="str">
        <f t="shared" si="7"/>
        <v>KVX30001500</v>
      </c>
      <c r="E163" s="907">
        <f t="shared" si="6"/>
        <v>1443.2315711000001</v>
      </c>
      <c r="F163" s="534">
        <v>14</v>
      </c>
      <c r="G163" s="535">
        <f>F163*CCBASE!$B$51</f>
        <v>504</v>
      </c>
      <c r="H163" s="535">
        <f>CCBASE!$I$12*B163/1000</f>
        <v>358.95161190000005</v>
      </c>
      <c r="I163" s="535"/>
      <c r="J163" s="535"/>
      <c r="K163" s="535"/>
      <c r="L163" s="534"/>
      <c r="M163" s="535">
        <f>CCBASE!$I$15*B163/1000</f>
        <v>239.53765500000003</v>
      </c>
      <c r="N163" s="535"/>
      <c r="O163" s="535"/>
      <c r="P163" s="535"/>
      <c r="Q163" s="535">
        <f>CCBASE!$I$51</f>
        <v>2.9</v>
      </c>
      <c r="R163" s="535">
        <f>CCBASE!$I$4</f>
        <v>8.3986041999999994</v>
      </c>
      <c r="S163" s="535">
        <f>CCBASE!$I$8</f>
        <v>16.25526</v>
      </c>
      <c r="T163" s="534"/>
      <c r="U163" s="535"/>
      <c r="V163" s="535"/>
      <c r="W163" s="535">
        <f>CCBASE!$I$41*B163/1000</f>
        <v>177.15470999999999</v>
      </c>
      <c r="X163" s="535"/>
      <c r="Y163" s="535"/>
      <c r="Z163" s="535"/>
      <c r="AA163" s="535"/>
      <c r="AB163" s="535"/>
      <c r="AC163" s="535"/>
      <c r="AD163" s="535">
        <f>CCBASE!$I$33*2</f>
        <v>136.03372999999999</v>
      </c>
      <c r="AI163" s="537"/>
      <c r="AJ163" s="537"/>
      <c r="AN163" s="538"/>
      <c r="AO163" s="538"/>
      <c r="AP163" s="538"/>
      <c r="AQ163" s="538"/>
      <c r="AR163" s="538"/>
      <c r="AS163" s="538"/>
    </row>
    <row r="164" spans="1:45" x14ac:dyDescent="0.2">
      <c r="A164" s="533" t="s">
        <v>63</v>
      </c>
      <c r="B164" s="533">
        <v>1000</v>
      </c>
      <c r="C164" s="533">
        <v>1750</v>
      </c>
      <c r="D164" s="533" t="str">
        <f t="shared" si="7"/>
        <v>KVX10001750</v>
      </c>
      <c r="E164" s="907">
        <f t="shared" si="6"/>
        <v>975.30453049999994</v>
      </c>
      <c r="F164" s="534">
        <v>13</v>
      </c>
      <c r="G164" s="535">
        <f>F164*CCBASE!$B$51</f>
        <v>468</v>
      </c>
      <c r="H164" s="535">
        <f>CCBASE!$I$12*B164/1000</f>
        <v>119.65053730000001</v>
      </c>
      <c r="I164" s="535"/>
      <c r="J164" s="535"/>
      <c r="K164" s="535"/>
      <c r="L164" s="540"/>
      <c r="M164" s="535">
        <f>CCBASE!$I$15*B164/1000</f>
        <v>79.84588500000001</v>
      </c>
      <c r="N164" s="535"/>
      <c r="O164" s="535"/>
      <c r="P164" s="535"/>
      <c r="Q164" s="535">
        <f>CCBASE!$I$51</f>
        <v>2.9</v>
      </c>
      <c r="R164" s="535">
        <f>CCBASE!$I$4</f>
        <v>8.3986041999999994</v>
      </c>
      <c r="S164" s="535">
        <f>CCBASE!$I$8</f>
        <v>16.25526</v>
      </c>
      <c r="T164" s="534"/>
      <c r="U164" s="534"/>
      <c r="V164" s="534"/>
      <c r="W164" s="535">
        <f>CCBASE!$I$42*B164/1000</f>
        <v>70.880589999999998</v>
      </c>
      <c r="X164" s="535"/>
      <c r="Y164" s="535"/>
      <c r="Z164" s="535"/>
      <c r="AA164" s="535"/>
      <c r="AB164" s="535"/>
      <c r="AC164" s="535"/>
      <c r="AD164" s="535">
        <f>CCBASE!$I$34*2</f>
        <v>209.37365399999999</v>
      </c>
      <c r="AI164" s="537"/>
      <c r="AJ164" s="537"/>
      <c r="AK164" s="538"/>
      <c r="AL164" s="538"/>
      <c r="AM164" s="538"/>
      <c r="AN164" s="538"/>
      <c r="AO164" s="538"/>
      <c r="AP164" s="538"/>
      <c r="AQ164" s="538"/>
      <c r="AR164" s="538"/>
      <c r="AS164" s="538"/>
    </row>
    <row r="165" spans="1:45" x14ac:dyDescent="0.2">
      <c r="A165" s="533" t="s">
        <v>63</v>
      </c>
      <c r="B165" s="533">
        <v>1250</v>
      </c>
      <c r="C165" s="533">
        <v>1750</v>
      </c>
      <c r="D165" s="533" t="str">
        <f t="shared" si="7"/>
        <v>KVX12501750</v>
      </c>
      <c r="E165" s="907">
        <f t="shared" si="6"/>
        <v>1042.8987835749999</v>
      </c>
      <c r="F165" s="534">
        <v>13</v>
      </c>
      <c r="G165" s="535">
        <f>F165*CCBASE!$B$51</f>
        <v>468</v>
      </c>
      <c r="H165" s="535">
        <f>CCBASE!$I$12*B165/1000</f>
        <v>149.56317162500002</v>
      </c>
      <c r="I165" s="535"/>
      <c r="J165" s="535"/>
      <c r="K165" s="535"/>
      <c r="L165" s="540"/>
      <c r="M165" s="535">
        <f>CCBASE!$I$15*B165/1000</f>
        <v>99.807356250000012</v>
      </c>
      <c r="N165" s="535"/>
      <c r="O165" s="535"/>
      <c r="P165" s="535"/>
      <c r="Q165" s="535">
        <f>CCBASE!$I$51</f>
        <v>2.9</v>
      </c>
      <c r="R165" s="535">
        <f>CCBASE!$I$4</f>
        <v>8.3986041999999994</v>
      </c>
      <c r="S165" s="535">
        <f>CCBASE!$I$8</f>
        <v>16.25526</v>
      </c>
      <c r="T165" s="534"/>
      <c r="U165" s="534"/>
      <c r="V165" s="534"/>
      <c r="W165" s="535">
        <f>CCBASE!$I$42*B165/1000</f>
        <v>88.600737500000008</v>
      </c>
      <c r="X165" s="535"/>
      <c r="Y165" s="535"/>
      <c r="Z165" s="535"/>
      <c r="AA165" s="535"/>
      <c r="AB165" s="535"/>
      <c r="AC165" s="535"/>
      <c r="AD165" s="535">
        <f>CCBASE!$I$34*2</f>
        <v>209.37365399999999</v>
      </c>
      <c r="AI165" s="537"/>
      <c r="AJ165" s="537"/>
      <c r="AK165" s="538"/>
      <c r="AL165" s="538"/>
      <c r="AM165" s="538"/>
      <c r="AN165" s="538"/>
      <c r="AO165" s="538"/>
      <c r="AP165" s="538"/>
      <c r="AQ165" s="538"/>
      <c r="AR165" s="538"/>
      <c r="AS165" s="538"/>
    </row>
    <row r="166" spans="1:45" x14ac:dyDescent="0.2">
      <c r="A166" s="533" t="s">
        <v>63</v>
      </c>
      <c r="B166" s="533">
        <v>1500</v>
      </c>
      <c r="C166" s="533">
        <v>1750</v>
      </c>
      <c r="D166" s="533" t="str">
        <f t="shared" si="7"/>
        <v>KVX15001750</v>
      </c>
      <c r="E166" s="907">
        <f t="shared" si="6"/>
        <v>1110.49303665</v>
      </c>
      <c r="F166" s="534">
        <v>13</v>
      </c>
      <c r="G166" s="535">
        <f>F166*CCBASE!$B$51</f>
        <v>468</v>
      </c>
      <c r="H166" s="535">
        <f>CCBASE!$I$12*B166/1000</f>
        <v>179.47580595000002</v>
      </c>
      <c r="I166" s="535"/>
      <c r="J166" s="535"/>
      <c r="K166" s="535"/>
      <c r="L166" s="540"/>
      <c r="M166" s="535">
        <f>CCBASE!$I$15*B166/1000</f>
        <v>119.76882750000001</v>
      </c>
      <c r="N166" s="535"/>
      <c r="O166" s="535"/>
      <c r="P166" s="535"/>
      <c r="Q166" s="535">
        <f>CCBASE!$I$51</f>
        <v>2.9</v>
      </c>
      <c r="R166" s="535">
        <f>CCBASE!$I$4</f>
        <v>8.3986041999999994</v>
      </c>
      <c r="S166" s="535">
        <f>CCBASE!$I$8</f>
        <v>16.25526</v>
      </c>
      <c r="T166" s="534"/>
      <c r="U166" s="534"/>
      <c r="V166" s="534"/>
      <c r="W166" s="535">
        <f>CCBASE!$I$42*B166/1000</f>
        <v>106.32088499999999</v>
      </c>
      <c r="X166" s="535"/>
      <c r="Y166" s="535"/>
      <c r="Z166" s="535"/>
      <c r="AA166" s="535"/>
      <c r="AB166" s="535"/>
      <c r="AC166" s="535"/>
      <c r="AD166" s="535">
        <f>CCBASE!$I$34*2</f>
        <v>209.37365399999999</v>
      </c>
      <c r="AI166" s="537"/>
      <c r="AJ166" s="537"/>
      <c r="AK166" s="538"/>
      <c r="AL166" s="538"/>
      <c r="AM166" s="538"/>
      <c r="AN166" s="538"/>
      <c r="AO166" s="538"/>
      <c r="AP166" s="538"/>
      <c r="AQ166" s="538"/>
      <c r="AR166" s="538"/>
      <c r="AS166" s="538"/>
    </row>
    <row r="167" spans="1:45" x14ac:dyDescent="0.2">
      <c r="A167" s="533" t="s">
        <v>63</v>
      </c>
      <c r="B167" s="533">
        <v>1750</v>
      </c>
      <c r="C167" s="533">
        <v>1750</v>
      </c>
      <c r="D167" s="533" t="str">
        <f t="shared" si="7"/>
        <v>KVX17501750</v>
      </c>
      <c r="E167" s="907">
        <f t="shared" si="6"/>
        <v>1178.0872897250001</v>
      </c>
      <c r="F167" s="534">
        <v>13</v>
      </c>
      <c r="G167" s="535">
        <f>F167*CCBASE!$B$51</f>
        <v>468</v>
      </c>
      <c r="H167" s="535">
        <f>CCBASE!$I$12*B167/1000</f>
        <v>209.38844027500002</v>
      </c>
      <c r="I167" s="535"/>
      <c r="J167" s="535"/>
      <c r="K167" s="535"/>
      <c r="L167" s="540"/>
      <c r="M167" s="535">
        <f>CCBASE!$I$15*B167/1000</f>
        <v>139.73029875</v>
      </c>
      <c r="N167" s="535"/>
      <c r="O167" s="535"/>
      <c r="P167" s="535"/>
      <c r="Q167" s="535">
        <f>CCBASE!$I$51</f>
        <v>2.9</v>
      </c>
      <c r="R167" s="535">
        <f>CCBASE!$I$4</f>
        <v>8.3986041999999994</v>
      </c>
      <c r="S167" s="535">
        <f>CCBASE!$I$8</f>
        <v>16.25526</v>
      </c>
      <c r="T167" s="534"/>
      <c r="U167" s="534"/>
      <c r="V167" s="534"/>
      <c r="W167" s="535">
        <f>CCBASE!$I$42*B167/1000</f>
        <v>124.0410325</v>
      </c>
      <c r="X167" s="535"/>
      <c r="Y167" s="535"/>
      <c r="Z167" s="535"/>
      <c r="AA167" s="535"/>
      <c r="AB167" s="535"/>
      <c r="AC167" s="535"/>
      <c r="AD167" s="535">
        <f>CCBASE!$I$34*2</f>
        <v>209.37365399999999</v>
      </c>
      <c r="AI167" s="537"/>
      <c r="AJ167" s="537"/>
    </row>
    <row r="168" spans="1:45" x14ac:dyDescent="0.2">
      <c r="A168" s="533" t="s">
        <v>63</v>
      </c>
      <c r="B168" s="533">
        <v>2000</v>
      </c>
      <c r="C168" s="533">
        <v>1750</v>
      </c>
      <c r="D168" s="533" t="str">
        <f t="shared" si="7"/>
        <v>KVX20001750</v>
      </c>
      <c r="E168" s="907">
        <f t="shared" si="6"/>
        <v>1281.6815428</v>
      </c>
      <c r="F168" s="534">
        <v>14</v>
      </c>
      <c r="G168" s="535">
        <f>F168*CCBASE!$B$51</f>
        <v>504</v>
      </c>
      <c r="H168" s="535">
        <f>CCBASE!$I$12*B168/1000</f>
        <v>239.30107460000002</v>
      </c>
      <c r="I168" s="535"/>
      <c r="J168" s="535"/>
      <c r="K168" s="535"/>
      <c r="L168" s="540"/>
      <c r="M168" s="535">
        <f>CCBASE!$I$15*B168/1000</f>
        <v>159.69177000000002</v>
      </c>
      <c r="N168" s="535"/>
      <c r="O168" s="535"/>
      <c r="P168" s="535"/>
      <c r="Q168" s="535">
        <f>CCBASE!$I$51</f>
        <v>2.9</v>
      </c>
      <c r="R168" s="535">
        <f>CCBASE!$I$4</f>
        <v>8.3986041999999994</v>
      </c>
      <c r="S168" s="535">
        <f>CCBASE!$I$8</f>
        <v>16.25526</v>
      </c>
      <c r="T168" s="534"/>
      <c r="U168" s="534"/>
      <c r="V168" s="534"/>
      <c r="W168" s="535">
        <f>CCBASE!$I$42*B168/1000</f>
        <v>141.76118</v>
      </c>
      <c r="X168" s="535"/>
      <c r="Y168" s="535"/>
      <c r="Z168" s="535"/>
      <c r="AA168" s="535"/>
      <c r="AB168" s="535"/>
      <c r="AC168" s="535"/>
      <c r="AD168" s="535">
        <f>CCBASE!$I$34*2</f>
        <v>209.37365399999999</v>
      </c>
      <c r="AI168" s="537"/>
      <c r="AJ168" s="537"/>
      <c r="AR168" s="538"/>
      <c r="AS168" s="538"/>
    </row>
    <row r="169" spans="1:45" x14ac:dyDescent="0.2">
      <c r="A169" s="533" t="s">
        <v>63</v>
      </c>
      <c r="B169" s="533">
        <v>2250</v>
      </c>
      <c r="C169" s="533">
        <v>1750</v>
      </c>
      <c r="D169" s="533" t="str">
        <f t="shared" si="7"/>
        <v>KVX22501750</v>
      </c>
      <c r="E169" s="907">
        <f t="shared" si="6"/>
        <v>1349.2757958750001</v>
      </c>
      <c r="F169" s="534">
        <v>14</v>
      </c>
      <c r="G169" s="535">
        <f>F169*CCBASE!$B$51</f>
        <v>504</v>
      </c>
      <c r="H169" s="535">
        <f>CCBASE!$I$12*B169/1000</f>
        <v>269.21370892500005</v>
      </c>
      <c r="I169" s="535"/>
      <c r="J169" s="535"/>
      <c r="K169" s="535"/>
      <c r="L169" s="540"/>
      <c r="M169" s="535">
        <f>CCBASE!$I$15*B169/1000</f>
        <v>179.65324125000001</v>
      </c>
      <c r="N169" s="535"/>
      <c r="O169" s="535"/>
      <c r="P169" s="535"/>
      <c r="Q169" s="535">
        <f>CCBASE!$I$51</f>
        <v>2.9</v>
      </c>
      <c r="R169" s="535">
        <f>CCBASE!$I$4</f>
        <v>8.3986041999999994</v>
      </c>
      <c r="S169" s="535">
        <f>CCBASE!$I$8</f>
        <v>16.25526</v>
      </c>
      <c r="T169" s="534"/>
      <c r="U169" s="534"/>
      <c r="V169" s="534"/>
      <c r="W169" s="535">
        <f>CCBASE!$I$42*B169/1000</f>
        <v>159.48132749999999</v>
      </c>
      <c r="X169" s="535"/>
      <c r="Y169" s="535"/>
      <c r="Z169" s="535"/>
      <c r="AA169" s="535"/>
      <c r="AB169" s="535"/>
      <c r="AC169" s="535"/>
      <c r="AD169" s="535">
        <f>CCBASE!$I$34*2</f>
        <v>209.37365399999999</v>
      </c>
      <c r="AI169" s="537"/>
      <c r="AJ169" s="537"/>
      <c r="AR169" s="538"/>
      <c r="AS169" s="538"/>
    </row>
    <row r="170" spans="1:45" x14ac:dyDescent="0.2">
      <c r="A170" s="533" t="s">
        <v>63</v>
      </c>
      <c r="B170" s="533">
        <v>2500</v>
      </c>
      <c r="C170" s="533">
        <v>1750</v>
      </c>
      <c r="D170" s="533" t="str">
        <f t="shared" si="7"/>
        <v>KVX25001750</v>
      </c>
      <c r="E170" s="907">
        <f t="shared" si="6"/>
        <v>1416.87004895</v>
      </c>
      <c r="F170" s="534">
        <v>14</v>
      </c>
      <c r="G170" s="535">
        <f>F170*CCBASE!$B$51</f>
        <v>504</v>
      </c>
      <c r="H170" s="535">
        <f>CCBASE!$I$12*B170/1000</f>
        <v>299.12634325000005</v>
      </c>
      <c r="I170" s="535"/>
      <c r="J170" s="535"/>
      <c r="K170" s="535"/>
      <c r="L170" s="540"/>
      <c r="M170" s="535">
        <f>CCBASE!$I$15*B170/1000</f>
        <v>199.61471250000002</v>
      </c>
      <c r="N170" s="535"/>
      <c r="O170" s="535"/>
      <c r="P170" s="535"/>
      <c r="Q170" s="535">
        <f>CCBASE!$I$51</f>
        <v>2.9</v>
      </c>
      <c r="R170" s="535">
        <f>CCBASE!$I$4</f>
        <v>8.3986041999999994</v>
      </c>
      <c r="S170" s="535">
        <f>CCBASE!$I$8</f>
        <v>16.25526</v>
      </c>
      <c r="T170" s="534"/>
      <c r="U170" s="534"/>
      <c r="V170" s="534"/>
      <c r="W170" s="535">
        <f>CCBASE!$I$42*B170/1000</f>
        <v>177.20147500000002</v>
      </c>
      <c r="X170" s="535"/>
      <c r="Y170" s="535"/>
      <c r="Z170" s="535"/>
      <c r="AA170" s="535"/>
      <c r="AB170" s="535"/>
      <c r="AC170" s="535"/>
      <c r="AD170" s="535">
        <f>CCBASE!$I$34*2</f>
        <v>209.37365399999999</v>
      </c>
      <c r="AI170" s="537"/>
      <c r="AJ170" s="537"/>
      <c r="AR170" s="538"/>
      <c r="AS170" s="538"/>
    </row>
    <row r="171" spans="1:45" x14ac:dyDescent="0.2">
      <c r="A171" s="533" t="s">
        <v>63</v>
      </c>
      <c r="B171" s="533">
        <v>2750</v>
      </c>
      <c r="C171" s="533">
        <v>1750</v>
      </c>
      <c r="D171" s="533" t="str">
        <f t="shared" si="7"/>
        <v>KVX27501750</v>
      </c>
      <c r="E171" s="907">
        <f t="shared" si="6"/>
        <v>1484.4643020249998</v>
      </c>
      <c r="F171" s="534">
        <v>14</v>
      </c>
      <c r="G171" s="535">
        <f>F171*CCBASE!$B$51</f>
        <v>504</v>
      </c>
      <c r="H171" s="535">
        <f>CCBASE!$I$12*B171/1000</f>
        <v>329.03897757500005</v>
      </c>
      <c r="I171" s="535"/>
      <c r="J171" s="535"/>
      <c r="K171" s="535"/>
      <c r="L171" s="540"/>
      <c r="M171" s="535">
        <f>CCBASE!$I$15*B171/1000</f>
        <v>219.57618375000001</v>
      </c>
      <c r="N171" s="535"/>
      <c r="O171" s="535"/>
      <c r="P171" s="535"/>
      <c r="Q171" s="535">
        <f>CCBASE!$I$51</f>
        <v>2.9</v>
      </c>
      <c r="R171" s="535">
        <f>CCBASE!$I$4</f>
        <v>8.3986041999999994</v>
      </c>
      <c r="S171" s="535">
        <f>CCBASE!$I$8</f>
        <v>16.25526</v>
      </c>
      <c r="T171" s="534"/>
      <c r="U171" s="534"/>
      <c r="V171" s="534"/>
      <c r="W171" s="535">
        <f>CCBASE!$I$42*B171/1000</f>
        <v>194.92162249999998</v>
      </c>
      <c r="X171" s="535"/>
      <c r="Y171" s="535"/>
      <c r="Z171" s="535"/>
      <c r="AA171" s="535"/>
      <c r="AB171" s="535"/>
      <c r="AC171" s="535"/>
      <c r="AD171" s="535">
        <f>CCBASE!$I$34*2</f>
        <v>209.37365399999999</v>
      </c>
      <c r="AI171" s="537"/>
      <c r="AJ171" s="537"/>
      <c r="AK171" s="538"/>
      <c r="AL171" s="538"/>
      <c r="AM171" s="538"/>
      <c r="AN171" s="538"/>
      <c r="AO171" s="538"/>
      <c r="AP171" s="538"/>
      <c r="AQ171" s="538"/>
      <c r="AR171" s="538"/>
      <c r="AS171" s="538"/>
    </row>
    <row r="172" spans="1:45" x14ac:dyDescent="0.2">
      <c r="A172" s="533" t="s">
        <v>63</v>
      </c>
      <c r="B172" s="533">
        <v>3000</v>
      </c>
      <c r="C172" s="533">
        <v>1750</v>
      </c>
      <c r="D172" s="533" t="str">
        <f t="shared" si="7"/>
        <v>KVX30001750</v>
      </c>
      <c r="E172" s="907">
        <f t="shared" si="6"/>
        <v>1552.0585550999999</v>
      </c>
      <c r="F172" s="534">
        <v>14</v>
      </c>
      <c r="G172" s="535">
        <f>F172*CCBASE!$B$51</f>
        <v>504</v>
      </c>
      <c r="H172" s="535">
        <f>CCBASE!$I$12*B172/1000</f>
        <v>358.95161190000005</v>
      </c>
      <c r="I172" s="535"/>
      <c r="J172" s="535"/>
      <c r="K172" s="535"/>
      <c r="L172" s="540"/>
      <c r="M172" s="535">
        <f>CCBASE!$I$15*B172/1000</f>
        <v>239.53765500000003</v>
      </c>
      <c r="N172" s="535"/>
      <c r="O172" s="535"/>
      <c r="P172" s="535"/>
      <c r="Q172" s="535">
        <f>CCBASE!$I$51</f>
        <v>2.9</v>
      </c>
      <c r="R172" s="535">
        <f>CCBASE!$I$4</f>
        <v>8.3986041999999994</v>
      </c>
      <c r="S172" s="535">
        <f>CCBASE!$I$8</f>
        <v>16.25526</v>
      </c>
      <c r="T172" s="534"/>
      <c r="U172" s="534"/>
      <c r="V172" s="534"/>
      <c r="W172" s="535">
        <f>CCBASE!$I$42*B172/1000</f>
        <v>212.64176999999998</v>
      </c>
      <c r="X172" s="535"/>
      <c r="Y172" s="535"/>
      <c r="Z172" s="535"/>
      <c r="AA172" s="535"/>
      <c r="AB172" s="535"/>
      <c r="AC172" s="535"/>
      <c r="AD172" s="535">
        <f>CCBASE!$I$34*2</f>
        <v>209.37365399999999</v>
      </c>
      <c r="AI172" s="537"/>
      <c r="AJ172" s="537"/>
      <c r="AK172" s="538"/>
      <c r="AL172" s="538"/>
      <c r="AM172" s="538"/>
      <c r="AN172" s="538"/>
      <c r="AO172" s="538"/>
      <c r="AP172" s="538"/>
      <c r="AQ172" s="538"/>
      <c r="AR172" s="538"/>
      <c r="AS172" s="538"/>
    </row>
    <row r="173" spans="1:45" x14ac:dyDescent="0.2">
      <c r="A173" s="533" t="s">
        <v>63</v>
      </c>
      <c r="B173" s="533">
        <v>1000</v>
      </c>
      <c r="C173" s="533">
        <v>2000</v>
      </c>
      <c r="D173" s="533" t="str">
        <f t="shared" si="7"/>
        <v>KVX10002000</v>
      </c>
      <c r="E173" s="907">
        <f t="shared" si="6"/>
        <v>1067.5708864999999</v>
      </c>
      <c r="F173" s="534">
        <v>13</v>
      </c>
      <c r="G173" s="535">
        <f>F173*CCBASE!$B$51</f>
        <v>468</v>
      </c>
      <c r="H173" s="535">
        <f>CCBASE!$I$12*B173/1000</f>
        <v>119.65053730000001</v>
      </c>
      <c r="I173" s="535"/>
      <c r="J173" s="535"/>
      <c r="K173" s="535"/>
      <c r="L173" s="540"/>
      <c r="M173" s="535">
        <f>CCBASE!$I$15*B173/1000</f>
        <v>79.84588500000001</v>
      </c>
      <c r="N173" s="535"/>
      <c r="O173" s="535"/>
      <c r="P173" s="535"/>
      <c r="Q173" s="535">
        <f>CCBASE!$I$51</f>
        <v>2.9</v>
      </c>
      <c r="R173" s="535">
        <f>CCBASE!$I$4</f>
        <v>8.3986041999999994</v>
      </c>
      <c r="S173" s="535">
        <f>CCBASE!$I$8</f>
        <v>16.25526</v>
      </c>
      <c r="T173" s="534"/>
      <c r="U173" s="534"/>
      <c r="V173" s="534"/>
      <c r="W173" s="535">
        <f>CCBASE!$I$43*B173/1000</f>
        <v>88.624119999999991</v>
      </c>
      <c r="X173" s="535"/>
      <c r="Y173" s="535"/>
      <c r="Z173" s="535"/>
      <c r="AA173" s="535"/>
      <c r="AB173" s="535"/>
      <c r="AC173" s="535"/>
      <c r="AD173" s="535">
        <f>CCBASE!$I$35*2</f>
        <v>283.89648</v>
      </c>
      <c r="AI173" s="537"/>
      <c r="AJ173" s="537"/>
      <c r="AK173" s="538"/>
      <c r="AL173" s="538"/>
      <c r="AM173" s="538"/>
      <c r="AN173" s="538"/>
      <c r="AO173" s="538"/>
      <c r="AP173" s="538"/>
      <c r="AQ173" s="538"/>
      <c r="AR173" s="538"/>
      <c r="AS173" s="538"/>
    </row>
    <row r="174" spans="1:45" x14ac:dyDescent="0.2">
      <c r="A174" s="533" t="s">
        <v>63</v>
      </c>
      <c r="B174" s="533">
        <v>1250</v>
      </c>
      <c r="C174" s="533">
        <v>2000</v>
      </c>
      <c r="D174" s="533" t="str">
        <f t="shared" si="7"/>
        <v>KVX12502000</v>
      </c>
      <c r="E174" s="907">
        <f t="shared" si="6"/>
        <v>1139.6010220749999</v>
      </c>
      <c r="F174" s="534">
        <v>13</v>
      </c>
      <c r="G174" s="535">
        <f>F174*CCBASE!$B$51</f>
        <v>468</v>
      </c>
      <c r="H174" s="535">
        <f>CCBASE!$I$12*B174/1000</f>
        <v>149.56317162500002</v>
      </c>
      <c r="I174" s="535"/>
      <c r="J174" s="535"/>
      <c r="K174" s="535"/>
      <c r="L174" s="540"/>
      <c r="M174" s="535">
        <f>CCBASE!$I$15*B174/1000</f>
        <v>99.807356250000012</v>
      </c>
      <c r="N174" s="535"/>
      <c r="O174" s="535"/>
      <c r="P174" s="535"/>
      <c r="Q174" s="535">
        <f>CCBASE!$I$51</f>
        <v>2.9</v>
      </c>
      <c r="R174" s="535">
        <f>CCBASE!$I$4</f>
        <v>8.3986041999999994</v>
      </c>
      <c r="S174" s="535">
        <f>CCBASE!$I$8</f>
        <v>16.25526</v>
      </c>
      <c r="T174" s="534"/>
      <c r="U174" s="534"/>
      <c r="V174" s="534"/>
      <c r="W174" s="535">
        <f>CCBASE!$I$43*B174/1000</f>
        <v>110.78014999999999</v>
      </c>
      <c r="X174" s="535"/>
      <c r="Y174" s="535"/>
      <c r="Z174" s="535"/>
      <c r="AA174" s="535"/>
      <c r="AB174" s="535"/>
      <c r="AC174" s="535"/>
      <c r="AD174" s="535">
        <f>CCBASE!$I$35*2</f>
        <v>283.89648</v>
      </c>
      <c r="AI174" s="537"/>
      <c r="AJ174" s="537"/>
      <c r="AK174" s="538"/>
      <c r="AL174" s="538"/>
      <c r="AM174" s="538"/>
      <c r="AN174" s="538"/>
      <c r="AO174" s="538"/>
      <c r="AP174" s="538"/>
      <c r="AQ174" s="538"/>
      <c r="AR174" s="538"/>
      <c r="AS174" s="538"/>
    </row>
    <row r="175" spans="1:45" x14ac:dyDescent="0.2">
      <c r="A175" s="533" t="s">
        <v>63</v>
      </c>
      <c r="B175" s="533">
        <v>1500</v>
      </c>
      <c r="C175" s="533">
        <v>2000</v>
      </c>
      <c r="D175" s="533" t="str">
        <f t="shared" si="7"/>
        <v>KVX15002000</v>
      </c>
      <c r="E175" s="907">
        <f t="shared" si="6"/>
        <v>1211.6311576500002</v>
      </c>
      <c r="F175" s="534">
        <v>13</v>
      </c>
      <c r="G175" s="535">
        <f>F175*CCBASE!$B$51</f>
        <v>468</v>
      </c>
      <c r="H175" s="535">
        <f>CCBASE!$I$12*B175/1000</f>
        <v>179.47580595000002</v>
      </c>
      <c r="I175" s="535"/>
      <c r="J175" s="535"/>
      <c r="K175" s="535"/>
      <c r="L175" s="540"/>
      <c r="M175" s="535">
        <f>CCBASE!$I$15*B175/1000</f>
        <v>119.76882750000001</v>
      </c>
      <c r="N175" s="535"/>
      <c r="O175" s="535"/>
      <c r="P175" s="535"/>
      <c r="Q175" s="535">
        <f>CCBASE!$I$51</f>
        <v>2.9</v>
      </c>
      <c r="R175" s="535">
        <f>CCBASE!$I$4</f>
        <v>8.3986041999999994</v>
      </c>
      <c r="S175" s="535">
        <f>CCBASE!$I$8</f>
        <v>16.25526</v>
      </c>
      <c r="T175" s="534"/>
      <c r="U175" s="534"/>
      <c r="V175" s="534"/>
      <c r="W175" s="535">
        <f>CCBASE!$I$43*B175/1000</f>
        <v>132.93617999999998</v>
      </c>
      <c r="X175" s="535"/>
      <c r="Y175" s="535"/>
      <c r="Z175" s="535"/>
      <c r="AA175" s="535"/>
      <c r="AB175" s="535"/>
      <c r="AC175" s="535"/>
      <c r="AD175" s="535">
        <f>CCBASE!$I$35*2</f>
        <v>283.89648</v>
      </c>
      <c r="AI175" s="537"/>
      <c r="AJ175" s="537"/>
      <c r="AK175" s="538"/>
      <c r="AL175" s="538"/>
      <c r="AM175" s="538"/>
      <c r="AN175" s="538"/>
      <c r="AO175" s="538"/>
      <c r="AP175" s="538"/>
      <c r="AQ175" s="538"/>
      <c r="AR175" s="538"/>
      <c r="AS175" s="538"/>
    </row>
    <row r="176" spans="1:45" x14ac:dyDescent="0.2">
      <c r="A176" s="533" t="s">
        <v>63</v>
      </c>
      <c r="B176" s="533">
        <v>1750</v>
      </c>
      <c r="C176" s="533">
        <v>2000</v>
      </c>
      <c r="D176" s="533" t="str">
        <f t="shared" si="7"/>
        <v>KVX17502000</v>
      </c>
      <c r="E176" s="907">
        <f t="shared" si="6"/>
        <v>1283.661293225</v>
      </c>
      <c r="F176" s="534">
        <v>13</v>
      </c>
      <c r="G176" s="535">
        <f>F176*CCBASE!$B$51</f>
        <v>468</v>
      </c>
      <c r="H176" s="535">
        <f>CCBASE!$I$12*B176/1000</f>
        <v>209.38844027500002</v>
      </c>
      <c r="I176" s="535"/>
      <c r="J176" s="535"/>
      <c r="K176" s="535"/>
      <c r="L176" s="540"/>
      <c r="M176" s="535">
        <f>CCBASE!$I$15*B176/1000</f>
        <v>139.73029875</v>
      </c>
      <c r="N176" s="535"/>
      <c r="O176" s="535"/>
      <c r="P176" s="535"/>
      <c r="Q176" s="535">
        <f>CCBASE!$I$51</f>
        <v>2.9</v>
      </c>
      <c r="R176" s="535">
        <f>CCBASE!$I$4</f>
        <v>8.3986041999999994</v>
      </c>
      <c r="S176" s="535">
        <f>CCBASE!$I$8</f>
        <v>16.25526</v>
      </c>
      <c r="T176" s="534"/>
      <c r="U176" s="534"/>
      <c r="V176" s="534"/>
      <c r="W176" s="535">
        <f>CCBASE!$I$43*B176/1000</f>
        <v>155.09220999999999</v>
      </c>
      <c r="X176" s="535"/>
      <c r="Y176" s="535"/>
      <c r="Z176" s="535"/>
      <c r="AA176" s="535"/>
      <c r="AB176" s="535"/>
      <c r="AC176" s="535"/>
      <c r="AD176" s="535">
        <f>CCBASE!$I$35*2</f>
        <v>283.89648</v>
      </c>
      <c r="AI176" s="537"/>
      <c r="AJ176" s="537"/>
    </row>
    <row r="177" spans="1:45" x14ac:dyDescent="0.2">
      <c r="A177" s="533" t="s">
        <v>63</v>
      </c>
      <c r="B177" s="533">
        <v>2000</v>
      </c>
      <c r="C177" s="533">
        <v>2000</v>
      </c>
      <c r="D177" s="533" t="str">
        <f t="shared" si="7"/>
        <v>KVX20002000</v>
      </c>
      <c r="E177" s="907">
        <f t="shared" si="6"/>
        <v>1355.6914287999998</v>
      </c>
      <c r="F177" s="534">
        <v>13</v>
      </c>
      <c r="G177" s="535">
        <f>F177*CCBASE!$B$51</f>
        <v>468</v>
      </c>
      <c r="H177" s="535">
        <f>CCBASE!$I$12*B177/1000</f>
        <v>239.30107460000002</v>
      </c>
      <c r="I177" s="535"/>
      <c r="J177" s="535"/>
      <c r="K177" s="535"/>
      <c r="L177" s="540"/>
      <c r="M177" s="535">
        <f>CCBASE!$I$15*B177/1000</f>
        <v>159.69177000000002</v>
      </c>
      <c r="N177" s="535"/>
      <c r="O177" s="535"/>
      <c r="P177" s="535"/>
      <c r="Q177" s="535">
        <f>CCBASE!$I$51</f>
        <v>2.9</v>
      </c>
      <c r="R177" s="535">
        <f>CCBASE!$I$4</f>
        <v>8.3986041999999994</v>
      </c>
      <c r="S177" s="535">
        <f>CCBASE!$I$8</f>
        <v>16.25526</v>
      </c>
      <c r="T177" s="534"/>
      <c r="U177" s="534"/>
      <c r="V177" s="534"/>
      <c r="W177" s="535">
        <f>CCBASE!$I$43*B177/1000</f>
        <v>177.24823999999998</v>
      </c>
      <c r="X177" s="535"/>
      <c r="Y177" s="535"/>
      <c r="Z177" s="535"/>
      <c r="AA177" s="535"/>
      <c r="AB177" s="535"/>
      <c r="AC177" s="535"/>
      <c r="AD177" s="535">
        <f>CCBASE!$I$35*2</f>
        <v>283.89648</v>
      </c>
      <c r="AI177" s="537"/>
      <c r="AJ177" s="537"/>
    </row>
    <row r="178" spans="1:45" x14ac:dyDescent="0.2">
      <c r="A178" s="533" t="s">
        <v>63</v>
      </c>
      <c r="B178" s="533">
        <v>2250</v>
      </c>
      <c r="C178" s="533">
        <v>2000</v>
      </c>
      <c r="D178" s="533" t="str">
        <f t="shared" si="7"/>
        <v>KVX22502000</v>
      </c>
      <c r="E178" s="907">
        <f t="shared" si="6"/>
        <v>1427.7215643750001</v>
      </c>
      <c r="F178" s="534">
        <v>13</v>
      </c>
      <c r="G178" s="535">
        <f>F178*CCBASE!$B$51</f>
        <v>468</v>
      </c>
      <c r="H178" s="535">
        <f>CCBASE!$I$12*B178/1000</f>
        <v>269.21370892500005</v>
      </c>
      <c r="I178" s="535"/>
      <c r="J178" s="535"/>
      <c r="K178" s="535"/>
      <c r="L178" s="540"/>
      <c r="M178" s="535">
        <f>CCBASE!$I$15*B178/1000</f>
        <v>179.65324125000001</v>
      </c>
      <c r="N178" s="535"/>
      <c r="O178" s="535"/>
      <c r="P178" s="535"/>
      <c r="Q178" s="535">
        <f>CCBASE!$I$51</f>
        <v>2.9</v>
      </c>
      <c r="R178" s="535">
        <f>CCBASE!$I$4</f>
        <v>8.3986041999999994</v>
      </c>
      <c r="S178" s="535">
        <f>CCBASE!$I$8</f>
        <v>16.25526</v>
      </c>
      <c r="T178" s="534"/>
      <c r="U178" s="534"/>
      <c r="V178" s="534"/>
      <c r="W178" s="535">
        <f>CCBASE!$I$43*B178/1000</f>
        <v>199.40427</v>
      </c>
      <c r="X178" s="535"/>
      <c r="Y178" s="535"/>
      <c r="Z178" s="535"/>
      <c r="AA178" s="535"/>
      <c r="AB178" s="535"/>
      <c r="AC178" s="535"/>
      <c r="AD178" s="535">
        <f>CCBASE!$I$35*2</f>
        <v>283.89648</v>
      </c>
      <c r="AI178" s="537"/>
      <c r="AJ178" s="537"/>
    </row>
    <row r="179" spans="1:45" x14ac:dyDescent="0.2">
      <c r="A179" s="533" t="s">
        <v>63</v>
      </c>
      <c r="B179" s="533">
        <v>2500</v>
      </c>
      <c r="C179" s="533">
        <v>2000</v>
      </c>
      <c r="D179" s="533" t="str">
        <f t="shared" si="7"/>
        <v>KVX25002000</v>
      </c>
      <c r="E179" s="907">
        <f t="shared" si="6"/>
        <v>1535.7516999499999</v>
      </c>
      <c r="F179" s="534">
        <v>14</v>
      </c>
      <c r="G179" s="535">
        <f>F179*CCBASE!$B$51</f>
        <v>504</v>
      </c>
      <c r="H179" s="535">
        <f>CCBASE!$I$12*B179/1000</f>
        <v>299.12634325000005</v>
      </c>
      <c r="I179" s="535"/>
      <c r="J179" s="535"/>
      <c r="K179" s="535"/>
      <c r="L179" s="540"/>
      <c r="M179" s="535">
        <f>CCBASE!$I$15*B179/1000</f>
        <v>199.61471250000002</v>
      </c>
      <c r="N179" s="535"/>
      <c r="O179" s="535"/>
      <c r="P179" s="535"/>
      <c r="Q179" s="535">
        <f>CCBASE!$I$51</f>
        <v>2.9</v>
      </c>
      <c r="R179" s="535">
        <f>CCBASE!$I$4</f>
        <v>8.3986041999999994</v>
      </c>
      <c r="S179" s="535">
        <f>CCBASE!$I$8</f>
        <v>16.25526</v>
      </c>
      <c r="T179" s="534"/>
      <c r="U179" s="534"/>
      <c r="V179" s="534"/>
      <c r="W179" s="535">
        <f>CCBASE!$I$43*B179/1000</f>
        <v>221.56029999999998</v>
      </c>
      <c r="X179" s="535"/>
      <c r="Y179" s="535"/>
      <c r="Z179" s="535"/>
      <c r="AA179" s="535"/>
      <c r="AB179" s="535"/>
      <c r="AC179" s="535"/>
      <c r="AD179" s="535">
        <f>CCBASE!$I$35*2</f>
        <v>283.89648</v>
      </c>
      <c r="AI179" s="537"/>
      <c r="AJ179" s="537"/>
      <c r="AR179" s="538"/>
      <c r="AS179" s="538"/>
    </row>
    <row r="180" spans="1:45" x14ac:dyDescent="0.2">
      <c r="A180" s="533" t="s">
        <v>63</v>
      </c>
      <c r="B180" s="533">
        <v>2750</v>
      </c>
      <c r="C180" s="533">
        <v>2000</v>
      </c>
      <c r="D180" s="533" t="str">
        <f t="shared" si="7"/>
        <v>KVX27502000</v>
      </c>
      <c r="E180" s="907">
        <f t="shared" si="6"/>
        <v>1607.7818355249997</v>
      </c>
      <c r="F180" s="534">
        <v>14</v>
      </c>
      <c r="G180" s="535">
        <f>F180*CCBASE!$B$51</f>
        <v>504</v>
      </c>
      <c r="H180" s="535">
        <f>CCBASE!$I$12*B180/1000</f>
        <v>329.03897757500005</v>
      </c>
      <c r="I180" s="535"/>
      <c r="J180" s="535"/>
      <c r="K180" s="535"/>
      <c r="L180" s="540"/>
      <c r="M180" s="535">
        <f>CCBASE!$I$15*B180/1000</f>
        <v>219.57618375000001</v>
      </c>
      <c r="N180" s="535"/>
      <c r="O180" s="535"/>
      <c r="P180" s="535"/>
      <c r="Q180" s="535">
        <f>CCBASE!$I$51</f>
        <v>2.9</v>
      </c>
      <c r="R180" s="535">
        <f>CCBASE!$I$4</f>
        <v>8.3986041999999994</v>
      </c>
      <c r="S180" s="535">
        <f>CCBASE!$I$8</f>
        <v>16.25526</v>
      </c>
      <c r="T180" s="534"/>
      <c r="U180" s="534"/>
      <c r="V180" s="534"/>
      <c r="W180" s="535">
        <f>CCBASE!$I$43*B180/1000</f>
        <v>243.71633</v>
      </c>
      <c r="X180" s="535"/>
      <c r="Y180" s="535"/>
      <c r="Z180" s="535"/>
      <c r="AA180" s="535"/>
      <c r="AB180" s="535"/>
      <c r="AC180" s="535"/>
      <c r="AD180" s="535">
        <f>CCBASE!$I$35*2</f>
        <v>283.89648</v>
      </c>
      <c r="AI180" s="537"/>
      <c r="AJ180" s="537"/>
      <c r="AR180" s="538"/>
      <c r="AS180" s="538"/>
    </row>
    <row r="181" spans="1:45" x14ac:dyDescent="0.2">
      <c r="A181" s="533" t="s">
        <v>63</v>
      </c>
      <c r="B181" s="533">
        <v>3000</v>
      </c>
      <c r="C181" s="533">
        <v>2000</v>
      </c>
      <c r="D181" s="533" t="str">
        <f t="shared" si="7"/>
        <v>KVX30002000</v>
      </c>
      <c r="E181" s="907">
        <f t="shared" si="6"/>
        <v>1679.8119710999999</v>
      </c>
      <c r="F181" s="534">
        <v>14</v>
      </c>
      <c r="G181" s="535">
        <f>F181*CCBASE!$B$51</f>
        <v>504</v>
      </c>
      <c r="H181" s="535">
        <f>CCBASE!$I$12*B181/1000</f>
        <v>358.95161190000005</v>
      </c>
      <c r="I181" s="535"/>
      <c r="J181" s="535"/>
      <c r="K181" s="535"/>
      <c r="L181" s="540"/>
      <c r="M181" s="535">
        <f>CCBASE!$I$15*B181/1000</f>
        <v>239.53765500000003</v>
      </c>
      <c r="N181" s="535"/>
      <c r="O181" s="535"/>
      <c r="P181" s="535"/>
      <c r="Q181" s="535">
        <f>CCBASE!$I$51</f>
        <v>2.9</v>
      </c>
      <c r="R181" s="535">
        <f>CCBASE!$I$4</f>
        <v>8.3986041999999994</v>
      </c>
      <c r="S181" s="535">
        <f>CCBASE!$I$8</f>
        <v>16.25526</v>
      </c>
      <c r="T181" s="534"/>
      <c r="U181" s="534"/>
      <c r="V181" s="534"/>
      <c r="W181" s="535">
        <f>CCBASE!$I$43*B181/1000</f>
        <v>265.87235999999996</v>
      </c>
      <c r="X181" s="535"/>
      <c r="Y181" s="535"/>
      <c r="Z181" s="535"/>
      <c r="AA181" s="535"/>
      <c r="AB181" s="535"/>
      <c r="AC181" s="535"/>
      <c r="AD181" s="535">
        <f>CCBASE!$I$35*2</f>
        <v>283.89648</v>
      </c>
      <c r="AI181" s="537"/>
      <c r="AJ181" s="537"/>
      <c r="AK181" s="538"/>
      <c r="AL181" s="538"/>
      <c r="AM181" s="538"/>
      <c r="AN181" s="538"/>
      <c r="AO181" s="538"/>
      <c r="AP181" s="538"/>
      <c r="AQ181" s="538"/>
      <c r="AR181" s="538"/>
      <c r="AS181" s="538"/>
    </row>
    <row r="182" spans="1:45" x14ac:dyDescent="0.2">
      <c r="A182" s="533" t="s">
        <v>1044</v>
      </c>
      <c r="B182" s="533">
        <v>1000</v>
      </c>
      <c r="C182" s="533">
        <v>1000</v>
      </c>
      <c r="D182" s="533" t="str">
        <f t="shared" ref="D182:D245" si="8">A182&amp;B182&amp;C182</f>
        <v>KVI10001000</v>
      </c>
      <c r="E182" s="907">
        <f t="shared" si="6"/>
        <v>1416.4362194999999</v>
      </c>
      <c r="F182" s="534">
        <v>20</v>
      </c>
      <c r="G182" s="535">
        <f>F182*CCBASE!$B$51</f>
        <v>720</v>
      </c>
      <c r="H182" s="535">
        <f>CCBASE!$I$12*B182/1000</f>
        <v>119.65053730000001</v>
      </c>
      <c r="I182" s="535"/>
      <c r="J182" s="535"/>
      <c r="K182" s="535"/>
      <c r="L182" s="535">
        <f>CCBASE!$I$14*B182/1000</f>
        <v>209.37365399999999</v>
      </c>
      <c r="M182" s="535"/>
      <c r="N182" s="535"/>
      <c r="O182" s="535">
        <f>CCBASE!$I$45*B182/1000</f>
        <v>9.9700000000000006</v>
      </c>
      <c r="P182" s="535"/>
      <c r="Q182" s="535">
        <f>CCBASE!$H$51</f>
        <v>5.16</v>
      </c>
      <c r="R182" s="535">
        <f>CCBASE!$I$4</f>
        <v>8.3986041999999994</v>
      </c>
      <c r="S182" s="535">
        <f>CCBASE!$I$8</f>
        <v>16.25526</v>
      </c>
      <c r="T182" s="535">
        <f>CCBASE!$I$44</f>
        <v>94.69</v>
      </c>
      <c r="U182" s="535"/>
      <c r="V182" s="535"/>
      <c r="W182" s="535">
        <f>CCBASE!$I$40*B182/1000</f>
        <v>41.308039999999998</v>
      </c>
      <c r="X182" s="535"/>
      <c r="Y182" s="535"/>
      <c r="Z182" s="535"/>
      <c r="AA182" s="535"/>
      <c r="AB182" s="535"/>
      <c r="AC182" s="535"/>
      <c r="AD182" s="535">
        <f>CCBASE!$I$36*2</f>
        <v>191.630124</v>
      </c>
      <c r="AI182" s="537"/>
      <c r="AJ182" s="537"/>
      <c r="AK182" s="538"/>
      <c r="AL182" s="538"/>
      <c r="AM182" s="538"/>
      <c r="AN182" s="538"/>
      <c r="AO182" s="538"/>
      <c r="AP182" s="538"/>
      <c r="AQ182" s="538"/>
      <c r="AR182" s="538"/>
      <c r="AS182" s="538"/>
    </row>
    <row r="183" spans="1:45" x14ac:dyDescent="0.2">
      <c r="A183" s="533" t="s">
        <v>1044</v>
      </c>
      <c r="B183" s="533">
        <v>1250</v>
      </c>
      <c r="C183" s="533">
        <v>1000</v>
      </c>
      <c r="D183" s="533" t="str">
        <f t="shared" si="8"/>
        <v>KVI12501000</v>
      </c>
      <c r="E183" s="907">
        <f t="shared" si="6"/>
        <v>1511.5117773250001</v>
      </c>
      <c r="F183" s="534">
        <v>20</v>
      </c>
      <c r="G183" s="535">
        <f>F183*CCBASE!$B$51</f>
        <v>720</v>
      </c>
      <c r="H183" s="535">
        <f>CCBASE!$I$12*B183/1000</f>
        <v>149.56317162500002</v>
      </c>
      <c r="I183" s="535"/>
      <c r="J183" s="535"/>
      <c r="K183" s="535"/>
      <c r="L183" s="535">
        <f>CCBASE!$I$14*B183/1000</f>
        <v>261.71706749999998</v>
      </c>
      <c r="M183" s="535"/>
      <c r="N183" s="535"/>
      <c r="O183" s="535">
        <f>CCBASE!$I$45*B183/1000</f>
        <v>12.4625</v>
      </c>
      <c r="P183" s="535"/>
      <c r="Q183" s="535">
        <f>CCBASE!$H$51</f>
        <v>5.16</v>
      </c>
      <c r="R183" s="535">
        <f>CCBASE!$I$4</f>
        <v>8.3986041999999994</v>
      </c>
      <c r="S183" s="535">
        <f>CCBASE!$I$8</f>
        <v>16.25526</v>
      </c>
      <c r="T183" s="535">
        <f>CCBASE!$I$44</f>
        <v>94.69</v>
      </c>
      <c r="U183" s="535"/>
      <c r="V183" s="535"/>
      <c r="W183" s="535">
        <f>CCBASE!$I$40*B183/1000</f>
        <v>51.635049999999993</v>
      </c>
      <c r="X183" s="535"/>
      <c r="Y183" s="535"/>
      <c r="Z183" s="535"/>
      <c r="AA183" s="535"/>
      <c r="AB183" s="535"/>
      <c r="AC183" s="535"/>
      <c r="AD183" s="535">
        <f>CCBASE!$I$36*2</f>
        <v>191.630124</v>
      </c>
      <c r="AJ183" s="541"/>
    </row>
    <row r="184" spans="1:45" x14ac:dyDescent="0.2">
      <c r="A184" s="533" t="s">
        <v>1044</v>
      </c>
      <c r="B184" s="533">
        <v>1500</v>
      </c>
      <c r="C184" s="533">
        <v>1000</v>
      </c>
      <c r="D184" s="533" t="str">
        <f t="shared" si="8"/>
        <v>KVI15001000</v>
      </c>
      <c r="E184" s="907">
        <f t="shared" si="6"/>
        <v>1606.5873351499999</v>
      </c>
      <c r="F184" s="534">
        <v>20</v>
      </c>
      <c r="G184" s="535">
        <f>F184*CCBASE!$B$51</f>
        <v>720</v>
      </c>
      <c r="H184" s="535">
        <f>CCBASE!$I$12*B184/1000</f>
        <v>179.47580595000002</v>
      </c>
      <c r="I184" s="535"/>
      <c r="J184" s="535"/>
      <c r="K184" s="535"/>
      <c r="L184" s="535">
        <f>CCBASE!$I$14*B184/1000</f>
        <v>314.06048099999998</v>
      </c>
      <c r="M184" s="535"/>
      <c r="N184" s="535"/>
      <c r="O184" s="535">
        <f>CCBASE!$I$45*B184/1000</f>
        <v>14.955000000000002</v>
      </c>
      <c r="P184" s="535"/>
      <c r="Q184" s="535">
        <f>CCBASE!$H$51</f>
        <v>5.16</v>
      </c>
      <c r="R184" s="535">
        <f>CCBASE!$I$4</f>
        <v>8.3986041999999994</v>
      </c>
      <c r="S184" s="535">
        <f>CCBASE!$I$8</f>
        <v>16.25526</v>
      </c>
      <c r="T184" s="535">
        <f>CCBASE!$I$44</f>
        <v>94.69</v>
      </c>
      <c r="U184" s="535"/>
      <c r="V184" s="535"/>
      <c r="W184" s="535">
        <f>CCBASE!$I$40*B184/1000</f>
        <v>61.962060000000001</v>
      </c>
      <c r="X184" s="535"/>
      <c r="Y184" s="535"/>
      <c r="Z184" s="535"/>
      <c r="AA184" s="535"/>
      <c r="AB184" s="535"/>
      <c r="AC184" s="535"/>
      <c r="AD184" s="535">
        <f>CCBASE!$I$36*2</f>
        <v>191.630124</v>
      </c>
      <c r="AJ184" s="541"/>
    </row>
    <row r="185" spans="1:45" x14ac:dyDescent="0.2">
      <c r="A185" s="533" t="s">
        <v>1044</v>
      </c>
      <c r="B185" s="533">
        <v>1750</v>
      </c>
      <c r="C185" s="533">
        <v>1000</v>
      </c>
      <c r="D185" s="533" t="str">
        <f t="shared" si="8"/>
        <v>KVI17501000</v>
      </c>
      <c r="E185" s="907">
        <f t="shared" si="6"/>
        <v>1701.662892975</v>
      </c>
      <c r="F185" s="534">
        <v>20</v>
      </c>
      <c r="G185" s="535">
        <f>F185*CCBASE!$B$51</f>
        <v>720</v>
      </c>
      <c r="H185" s="535">
        <f>CCBASE!$I$12*B185/1000</f>
        <v>209.38844027500002</v>
      </c>
      <c r="I185" s="535"/>
      <c r="J185" s="535"/>
      <c r="K185" s="535"/>
      <c r="L185" s="535">
        <f>CCBASE!$I$14*B185/1000</f>
        <v>366.40389449999998</v>
      </c>
      <c r="M185" s="535"/>
      <c r="N185" s="535"/>
      <c r="O185" s="535">
        <f>CCBASE!$I$45*B185/1000</f>
        <v>17.447500000000002</v>
      </c>
      <c r="P185" s="535"/>
      <c r="Q185" s="535">
        <f>CCBASE!$H$51</f>
        <v>5.16</v>
      </c>
      <c r="R185" s="535">
        <f>CCBASE!$I$4</f>
        <v>8.3986041999999994</v>
      </c>
      <c r="S185" s="535">
        <f>CCBASE!$I$8</f>
        <v>16.25526</v>
      </c>
      <c r="T185" s="535">
        <f>CCBASE!$I$44</f>
        <v>94.69</v>
      </c>
      <c r="U185" s="535"/>
      <c r="V185" s="535"/>
      <c r="W185" s="535">
        <f>CCBASE!$I$40*B185/1000</f>
        <v>72.289069999999995</v>
      </c>
      <c r="X185" s="535"/>
      <c r="Y185" s="535"/>
      <c r="Z185" s="535"/>
      <c r="AA185" s="535"/>
      <c r="AB185" s="535"/>
      <c r="AC185" s="535"/>
      <c r="AD185" s="535">
        <f>CCBASE!$I$36*2</f>
        <v>191.630124</v>
      </c>
    </row>
    <row r="186" spans="1:45" x14ac:dyDescent="0.2">
      <c r="A186" s="533" t="s">
        <v>1044</v>
      </c>
      <c r="B186" s="533">
        <v>2000</v>
      </c>
      <c r="C186" s="533">
        <v>1000</v>
      </c>
      <c r="D186" s="533" t="str">
        <f t="shared" si="8"/>
        <v>KVI20001000</v>
      </c>
      <c r="E186" s="907">
        <f t="shared" si="6"/>
        <v>1796.7384508</v>
      </c>
      <c r="F186" s="534">
        <v>20</v>
      </c>
      <c r="G186" s="535">
        <f>F186*CCBASE!$B$51</f>
        <v>720</v>
      </c>
      <c r="H186" s="535">
        <f>CCBASE!$I$12*B186/1000</f>
        <v>239.30107460000002</v>
      </c>
      <c r="I186" s="535"/>
      <c r="J186" s="535"/>
      <c r="K186" s="535"/>
      <c r="L186" s="535">
        <f>CCBASE!$I$14*B186/1000</f>
        <v>418.74730799999998</v>
      </c>
      <c r="M186" s="535"/>
      <c r="N186" s="535"/>
      <c r="O186" s="535">
        <f>CCBASE!$I$45*B186/1000</f>
        <v>19.940000000000001</v>
      </c>
      <c r="P186" s="535"/>
      <c r="Q186" s="535">
        <f>CCBASE!$H$51</f>
        <v>5.16</v>
      </c>
      <c r="R186" s="535">
        <f>CCBASE!$I$4</f>
        <v>8.3986041999999994</v>
      </c>
      <c r="S186" s="535">
        <f>CCBASE!$I$8</f>
        <v>16.25526</v>
      </c>
      <c r="T186" s="535">
        <f>CCBASE!$I$44</f>
        <v>94.69</v>
      </c>
      <c r="U186" s="535"/>
      <c r="V186" s="535"/>
      <c r="W186" s="535">
        <f>CCBASE!$I$40*B186/1000</f>
        <v>82.616079999999997</v>
      </c>
      <c r="X186" s="535"/>
      <c r="Y186" s="535"/>
      <c r="Z186" s="535"/>
      <c r="AA186" s="535"/>
      <c r="AB186" s="535"/>
      <c r="AC186" s="535"/>
      <c r="AD186" s="535">
        <f>CCBASE!$I$36*2</f>
        <v>191.630124</v>
      </c>
    </row>
    <row r="187" spans="1:45" x14ac:dyDescent="0.2">
      <c r="A187" s="533" t="s">
        <v>1044</v>
      </c>
      <c r="B187" s="533">
        <v>2250</v>
      </c>
      <c r="C187" s="533">
        <v>1000</v>
      </c>
      <c r="D187" s="533" t="str">
        <f t="shared" si="8"/>
        <v>KVI22501000</v>
      </c>
      <c r="E187" s="907">
        <f t="shared" si="6"/>
        <v>1927.8140086249998</v>
      </c>
      <c r="F187" s="534">
        <v>21</v>
      </c>
      <c r="G187" s="535">
        <f>F187*CCBASE!$B$51</f>
        <v>756</v>
      </c>
      <c r="H187" s="535">
        <f>CCBASE!$I$12*B187/1000</f>
        <v>269.21370892500005</v>
      </c>
      <c r="I187" s="535"/>
      <c r="J187" s="535"/>
      <c r="K187" s="535"/>
      <c r="L187" s="535">
        <f>CCBASE!$I$14*B187/1000</f>
        <v>471.09072149999997</v>
      </c>
      <c r="M187" s="535"/>
      <c r="N187" s="535"/>
      <c r="O187" s="535">
        <f>CCBASE!$I$45*B187/1000</f>
        <v>22.432500000000001</v>
      </c>
      <c r="P187" s="535"/>
      <c r="Q187" s="535">
        <f>CCBASE!$H$51</f>
        <v>5.16</v>
      </c>
      <c r="R187" s="535">
        <f>CCBASE!$I$4</f>
        <v>8.3986041999999994</v>
      </c>
      <c r="S187" s="535">
        <f>CCBASE!$I$8</f>
        <v>16.25526</v>
      </c>
      <c r="T187" s="535">
        <f>CCBASE!$I$44</f>
        <v>94.69</v>
      </c>
      <c r="U187" s="535"/>
      <c r="V187" s="535"/>
      <c r="W187" s="535">
        <f>CCBASE!$I$40*B187/1000</f>
        <v>92.943089999999998</v>
      </c>
      <c r="X187" s="535"/>
      <c r="Y187" s="535"/>
      <c r="Z187" s="535"/>
      <c r="AA187" s="535"/>
      <c r="AB187" s="535"/>
      <c r="AC187" s="535"/>
      <c r="AD187" s="535">
        <f>CCBASE!$I$36*2</f>
        <v>191.630124</v>
      </c>
    </row>
    <row r="188" spans="1:45" x14ac:dyDescent="0.2">
      <c r="A188" s="533" t="s">
        <v>1044</v>
      </c>
      <c r="B188" s="533">
        <v>2500</v>
      </c>
      <c r="C188" s="533">
        <v>1000</v>
      </c>
      <c r="D188" s="533" t="str">
        <f t="shared" si="8"/>
        <v>KVI25001000</v>
      </c>
      <c r="E188" s="907">
        <f t="shared" si="6"/>
        <v>2022.8895664499998</v>
      </c>
      <c r="F188" s="534">
        <v>21</v>
      </c>
      <c r="G188" s="535">
        <f>F188*CCBASE!$B$51</f>
        <v>756</v>
      </c>
      <c r="H188" s="535">
        <f>CCBASE!$I$12*B188/1000</f>
        <v>299.12634325000005</v>
      </c>
      <c r="I188" s="535"/>
      <c r="J188" s="535"/>
      <c r="K188" s="535"/>
      <c r="L188" s="535">
        <f>CCBASE!$I$14*B188/1000</f>
        <v>523.43413499999997</v>
      </c>
      <c r="M188" s="535"/>
      <c r="N188" s="535"/>
      <c r="O188" s="535">
        <f>CCBASE!$I$45*B188/1000</f>
        <v>24.925000000000001</v>
      </c>
      <c r="P188" s="535"/>
      <c r="Q188" s="535">
        <f>CCBASE!$H$51</f>
        <v>5.16</v>
      </c>
      <c r="R188" s="535">
        <f>CCBASE!$I$4</f>
        <v>8.3986041999999994</v>
      </c>
      <c r="S188" s="535">
        <f>CCBASE!$I$8</f>
        <v>16.25526</v>
      </c>
      <c r="T188" s="535">
        <f>CCBASE!$I$44</f>
        <v>94.69</v>
      </c>
      <c r="U188" s="535"/>
      <c r="V188" s="535"/>
      <c r="W188" s="535">
        <f>CCBASE!$I$40*B188/1000</f>
        <v>103.27009999999999</v>
      </c>
      <c r="X188" s="535"/>
      <c r="Y188" s="535"/>
      <c r="Z188" s="535"/>
      <c r="AA188" s="535"/>
      <c r="AB188" s="535"/>
      <c r="AC188" s="535"/>
      <c r="AD188" s="535">
        <f>CCBASE!$I$36*2</f>
        <v>191.630124</v>
      </c>
    </row>
    <row r="189" spans="1:45" x14ac:dyDescent="0.2">
      <c r="A189" s="533" t="s">
        <v>1044</v>
      </c>
      <c r="B189" s="533">
        <v>2750</v>
      </c>
      <c r="C189" s="533">
        <v>1000</v>
      </c>
      <c r="D189" s="533" t="str">
        <f t="shared" si="8"/>
        <v>KVI27501000</v>
      </c>
      <c r="E189" s="907">
        <f t="shared" si="6"/>
        <v>2117.9651242749997</v>
      </c>
      <c r="F189" s="534">
        <v>21</v>
      </c>
      <c r="G189" s="535">
        <f>F189*CCBASE!$B$51</f>
        <v>756</v>
      </c>
      <c r="H189" s="535">
        <f>CCBASE!$I$12*B189/1000</f>
        <v>329.03897757500005</v>
      </c>
      <c r="I189" s="535"/>
      <c r="J189" s="535"/>
      <c r="K189" s="535"/>
      <c r="L189" s="535">
        <f>CCBASE!$I$14*B189/1000</f>
        <v>575.77754849999997</v>
      </c>
      <c r="M189" s="535"/>
      <c r="N189" s="535"/>
      <c r="O189" s="535">
        <f>CCBASE!$I$45*B189/1000</f>
        <v>27.4175</v>
      </c>
      <c r="P189" s="535"/>
      <c r="Q189" s="535">
        <f>CCBASE!$H$51</f>
        <v>5.16</v>
      </c>
      <c r="R189" s="535">
        <f>CCBASE!$I$4</f>
        <v>8.3986041999999994</v>
      </c>
      <c r="S189" s="535">
        <f>CCBASE!$I$8</f>
        <v>16.25526</v>
      </c>
      <c r="T189" s="535">
        <f>CCBASE!$I$44</f>
        <v>94.69</v>
      </c>
      <c r="U189" s="535"/>
      <c r="V189" s="535"/>
      <c r="W189" s="535">
        <f>CCBASE!$I$40*B189/1000</f>
        <v>113.59711</v>
      </c>
      <c r="X189" s="535"/>
      <c r="Y189" s="535"/>
      <c r="Z189" s="535"/>
      <c r="AA189" s="535"/>
      <c r="AB189" s="535"/>
      <c r="AC189" s="535"/>
      <c r="AD189" s="535">
        <f>CCBASE!$I$36*2</f>
        <v>191.630124</v>
      </c>
    </row>
    <row r="190" spans="1:45" x14ac:dyDescent="0.2">
      <c r="A190" s="533" t="s">
        <v>1044</v>
      </c>
      <c r="B190" s="533">
        <v>3000</v>
      </c>
      <c r="C190" s="533">
        <v>1000</v>
      </c>
      <c r="D190" s="533" t="str">
        <f t="shared" si="8"/>
        <v>KVI30001000</v>
      </c>
      <c r="E190" s="907">
        <f t="shared" si="6"/>
        <v>2213.0406820999997</v>
      </c>
      <c r="F190" s="534">
        <v>21</v>
      </c>
      <c r="G190" s="535">
        <f>F190*CCBASE!$B$51</f>
        <v>756</v>
      </c>
      <c r="H190" s="535">
        <f>CCBASE!$I$12*B190/1000</f>
        <v>358.95161190000005</v>
      </c>
      <c r="I190" s="535"/>
      <c r="J190" s="535"/>
      <c r="K190" s="535"/>
      <c r="L190" s="535">
        <f>CCBASE!$I$14*B190/1000</f>
        <v>628.12096199999996</v>
      </c>
      <c r="M190" s="535"/>
      <c r="N190" s="535"/>
      <c r="O190" s="535">
        <f>CCBASE!$I$45*B190/1000</f>
        <v>29.910000000000004</v>
      </c>
      <c r="P190" s="535"/>
      <c r="Q190" s="535">
        <f>CCBASE!$H$51</f>
        <v>5.16</v>
      </c>
      <c r="R190" s="535">
        <f>CCBASE!$I$4</f>
        <v>8.3986041999999994</v>
      </c>
      <c r="S190" s="535">
        <f>CCBASE!$I$8</f>
        <v>16.25526</v>
      </c>
      <c r="T190" s="535">
        <f>CCBASE!$I$44</f>
        <v>94.69</v>
      </c>
      <c r="U190" s="535"/>
      <c r="V190" s="535"/>
      <c r="W190" s="535">
        <f>CCBASE!$I$40*B190/1000</f>
        <v>123.92412</v>
      </c>
      <c r="X190" s="535"/>
      <c r="Y190" s="535"/>
      <c r="Z190" s="535"/>
      <c r="AA190" s="535"/>
      <c r="AB190" s="535"/>
      <c r="AC190" s="535"/>
      <c r="AD190" s="535">
        <f>CCBASE!$I$36*2</f>
        <v>191.630124</v>
      </c>
    </row>
    <row r="191" spans="1:45" x14ac:dyDescent="0.2">
      <c r="A191" s="533" t="s">
        <v>1044</v>
      </c>
      <c r="B191" s="533">
        <v>1000</v>
      </c>
      <c r="C191" s="533">
        <v>1250</v>
      </c>
      <c r="D191" s="533" t="str">
        <f t="shared" si="8"/>
        <v>KVI10001250</v>
      </c>
      <c r="E191" s="907">
        <f t="shared" si="6"/>
        <v>1416.4362194999999</v>
      </c>
      <c r="F191" s="534">
        <v>20</v>
      </c>
      <c r="G191" s="535">
        <f>F191*CCBASE!$B$51</f>
        <v>720</v>
      </c>
      <c r="H191" s="535">
        <f>CCBASE!$I$12*B191/1000</f>
        <v>119.65053730000001</v>
      </c>
      <c r="I191" s="535"/>
      <c r="J191" s="535"/>
      <c r="K191" s="535"/>
      <c r="L191" s="535">
        <f>CCBASE!$I$14*B191/1000</f>
        <v>209.37365399999999</v>
      </c>
      <c r="M191" s="535"/>
      <c r="N191" s="535"/>
      <c r="O191" s="535">
        <f>CCBASE!$I$45*B191/1000</f>
        <v>9.9700000000000006</v>
      </c>
      <c r="P191" s="535"/>
      <c r="Q191" s="535">
        <f>CCBASE!$H$51</f>
        <v>5.16</v>
      </c>
      <c r="R191" s="535">
        <f>CCBASE!$I$4</f>
        <v>8.3986041999999994</v>
      </c>
      <c r="S191" s="535">
        <f>CCBASE!$I$8</f>
        <v>16.25526</v>
      </c>
      <c r="T191" s="535">
        <f>CCBASE!$I$44</f>
        <v>94.69</v>
      </c>
      <c r="U191" s="535"/>
      <c r="V191" s="535"/>
      <c r="W191" s="535">
        <f>CCBASE!$I$40*B191/1000</f>
        <v>41.308039999999998</v>
      </c>
      <c r="X191" s="535"/>
      <c r="Y191" s="535"/>
      <c r="Z191" s="535"/>
      <c r="AA191" s="535"/>
      <c r="AB191" s="535"/>
      <c r="AC191" s="535"/>
      <c r="AD191" s="535">
        <f>CCBASE!$I$36*2</f>
        <v>191.630124</v>
      </c>
    </row>
    <row r="192" spans="1:45" x14ac:dyDescent="0.2">
      <c r="A192" s="533" t="s">
        <v>1044</v>
      </c>
      <c r="B192" s="533">
        <v>1250</v>
      </c>
      <c r="C192" s="533">
        <v>1250</v>
      </c>
      <c r="D192" s="533" t="str">
        <f t="shared" si="8"/>
        <v>KVI12501250</v>
      </c>
      <c r="E192" s="907">
        <f t="shared" si="6"/>
        <v>1511.5117773250001</v>
      </c>
      <c r="F192" s="534">
        <v>20</v>
      </c>
      <c r="G192" s="535">
        <f>F192*CCBASE!$B$51</f>
        <v>720</v>
      </c>
      <c r="H192" s="535">
        <f>CCBASE!$I$12*B192/1000</f>
        <v>149.56317162500002</v>
      </c>
      <c r="I192" s="535"/>
      <c r="J192" s="535"/>
      <c r="K192" s="535"/>
      <c r="L192" s="535">
        <f>CCBASE!$I$14*B192/1000</f>
        <v>261.71706749999998</v>
      </c>
      <c r="M192" s="535"/>
      <c r="N192" s="535"/>
      <c r="O192" s="535">
        <f>CCBASE!$I$45*B192/1000</f>
        <v>12.4625</v>
      </c>
      <c r="P192" s="535"/>
      <c r="Q192" s="535">
        <f>CCBASE!$H$51</f>
        <v>5.16</v>
      </c>
      <c r="R192" s="535">
        <f>CCBASE!$I$4</f>
        <v>8.3986041999999994</v>
      </c>
      <c r="S192" s="535">
        <f>CCBASE!$I$8</f>
        <v>16.25526</v>
      </c>
      <c r="T192" s="535">
        <f>CCBASE!$I$44</f>
        <v>94.69</v>
      </c>
      <c r="U192" s="535"/>
      <c r="V192" s="535"/>
      <c r="W192" s="535">
        <f>CCBASE!$I$40*B192/1000</f>
        <v>51.635049999999993</v>
      </c>
      <c r="X192" s="535"/>
      <c r="Y192" s="535"/>
      <c r="Z192" s="535"/>
      <c r="AA192" s="535"/>
      <c r="AB192" s="535"/>
      <c r="AC192" s="535"/>
      <c r="AD192" s="535">
        <f>CCBASE!$I$36*2</f>
        <v>191.630124</v>
      </c>
    </row>
    <row r="193" spans="1:30" x14ac:dyDescent="0.2">
      <c r="A193" s="533" t="s">
        <v>1044</v>
      </c>
      <c r="B193" s="533">
        <v>1500</v>
      </c>
      <c r="C193" s="533">
        <v>1250</v>
      </c>
      <c r="D193" s="533" t="str">
        <f t="shared" si="8"/>
        <v>KVI15001250</v>
      </c>
      <c r="E193" s="907">
        <f t="shared" si="6"/>
        <v>1606.5873351499999</v>
      </c>
      <c r="F193" s="534">
        <v>20</v>
      </c>
      <c r="G193" s="535">
        <f>F193*CCBASE!$B$51</f>
        <v>720</v>
      </c>
      <c r="H193" s="535">
        <f>CCBASE!$I$12*B193/1000</f>
        <v>179.47580595000002</v>
      </c>
      <c r="I193" s="535"/>
      <c r="J193" s="535"/>
      <c r="K193" s="535"/>
      <c r="L193" s="535">
        <f>CCBASE!$I$14*B193/1000</f>
        <v>314.06048099999998</v>
      </c>
      <c r="M193" s="535"/>
      <c r="N193" s="535"/>
      <c r="O193" s="535">
        <f>CCBASE!$I$45*B193/1000</f>
        <v>14.955000000000002</v>
      </c>
      <c r="P193" s="535"/>
      <c r="Q193" s="535">
        <f>CCBASE!$H$51</f>
        <v>5.16</v>
      </c>
      <c r="R193" s="535">
        <f>CCBASE!$I$4</f>
        <v>8.3986041999999994</v>
      </c>
      <c r="S193" s="535">
        <f>CCBASE!$I$8</f>
        <v>16.25526</v>
      </c>
      <c r="T193" s="535">
        <f>CCBASE!$I$44</f>
        <v>94.69</v>
      </c>
      <c r="U193" s="535"/>
      <c r="V193" s="535"/>
      <c r="W193" s="535">
        <f>CCBASE!$I$40*B193/1000</f>
        <v>61.962060000000001</v>
      </c>
      <c r="X193" s="535"/>
      <c r="Y193" s="535"/>
      <c r="Z193" s="535"/>
      <c r="AA193" s="535"/>
      <c r="AB193" s="535"/>
      <c r="AC193" s="535"/>
      <c r="AD193" s="535">
        <f>CCBASE!$I$36*2</f>
        <v>191.630124</v>
      </c>
    </row>
    <row r="194" spans="1:30" x14ac:dyDescent="0.2">
      <c r="A194" s="533" t="s">
        <v>1044</v>
      </c>
      <c r="B194" s="533">
        <v>1750</v>
      </c>
      <c r="C194" s="533">
        <v>1250</v>
      </c>
      <c r="D194" s="533" t="str">
        <f t="shared" si="8"/>
        <v>KVI17501250</v>
      </c>
      <c r="E194" s="907">
        <f t="shared" ref="E194:E257" si="9">SUM(G194:AD194)</f>
        <v>1701.662892975</v>
      </c>
      <c r="F194" s="534">
        <v>20</v>
      </c>
      <c r="G194" s="535">
        <f>F194*CCBASE!$B$51</f>
        <v>720</v>
      </c>
      <c r="H194" s="535">
        <f>CCBASE!$I$12*B194/1000</f>
        <v>209.38844027500002</v>
      </c>
      <c r="I194" s="535"/>
      <c r="J194" s="535"/>
      <c r="K194" s="535"/>
      <c r="L194" s="535">
        <f>CCBASE!$I$14*B194/1000</f>
        <v>366.40389449999998</v>
      </c>
      <c r="M194" s="535"/>
      <c r="N194" s="535"/>
      <c r="O194" s="535">
        <f>CCBASE!$I$45*B194/1000</f>
        <v>17.447500000000002</v>
      </c>
      <c r="P194" s="535"/>
      <c r="Q194" s="535">
        <f>CCBASE!$H$51</f>
        <v>5.16</v>
      </c>
      <c r="R194" s="535">
        <f>CCBASE!$I$4</f>
        <v>8.3986041999999994</v>
      </c>
      <c r="S194" s="535">
        <f>CCBASE!$I$8</f>
        <v>16.25526</v>
      </c>
      <c r="T194" s="535">
        <f>CCBASE!$I$44</f>
        <v>94.69</v>
      </c>
      <c r="U194" s="535"/>
      <c r="V194" s="535"/>
      <c r="W194" s="535">
        <f>CCBASE!$I$40*B194/1000</f>
        <v>72.289069999999995</v>
      </c>
      <c r="X194" s="535"/>
      <c r="Y194" s="535"/>
      <c r="Z194" s="535"/>
      <c r="AA194" s="535"/>
      <c r="AB194" s="535"/>
      <c r="AC194" s="535"/>
      <c r="AD194" s="535">
        <f>CCBASE!$I$36*2</f>
        <v>191.630124</v>
      </c>
    </row>
    <row r="195" spans="1:30" x14ac:dyDescent="0.2">
      <c r="A195" s="533" t="s">
        <v>1044</v>
      </c>
      <c r="B195" s="533">
        <v>2000</v>
      </c>
      <c r="C195" s="533">
        <v>1250</v>
      </c>
      <c r="D195" s="533" t="str">
        <f t="shared" si="8"/>
        <v>KVI20001250</v>
      </c>
      <c r="E195" s="907">
        <f t="shared" si="9"/>
        <v>1796.7384508</v>
      </c>
      <c r="F195" s="534">
        <v>20</v>
      </c>
      <c r="G195" s="535">
        <f>F195*CCBASE!$B$51</f>
        <v>720</v>
      </c>
      <c r="H195" s="535">
        <f>CCBASE!$I$12*B195/1000</f>
        <v>239.30107460000002</v>
      </c>
      <c r="I195" s="535"/>
      <c r="J195" s="535"/>
      <c r="K195" s="535"/>
      <c r="L195" s="535">
        <f>CCBASE!$I$14*B195/1000</f>
        <v>418.74730799999998</v>
      </c>
      <c r="M195" s="535"/>
      <c r="N195" s="535"/>
      <c r="O195" s="535">
        <f>CCBASE!$I$45*B195/1000</f>
        <v>19.940000000000001</v>
      </c>
      <c r="P195" s="535"/>
      <c r="Q195" s="535">
        <f>CCBASE!$H$51</f>
        <v>5.16</v>
      </c>
      <c r="R195" s="535">
        <f>CCBASE!$I$4</f>
        <v>8.3986041999999994</v>
      </c>
      <c r="S195" s="535">
        <f>CCBASE!$I$8</f>
        <v>16.25526</v>
      </c>
      <c r="T195" s="535">
        <f>CCBASE!$I$44</f>
        <v>94.69</v>
      </c>
      <c r="U195" s="535"/>
      <c r="V195" s="535"/>
      <c r="W195" s="535">
        <f>CCBASE!$I$40*B195/1000</f>
        <v>82.616079999999997</v>
      </c>
      <c r="X195" s="535"/>
      <c r="Y195" s="535"/>
      <c r="Z195" s="535"/>
      <c r="AA195" s="535"/>
      <c r="AB195" s="535"/>
      <c r="AC195" s="535"/>
      <c r="AD195" s="535">
        <f>CCBASE!$I$36*2</f>
        <v>191.630124</v>
      </c>
    </row>
    <row r="196" spans="1:30" x14ac:dyDescent="0.2">
      <c r="A196" s="533" t="s">
        <v>1044</v>
      </c>
      <c r="B196" s="533">
        <v>2250</v>
      </c>
      <c r="C196" s="533">
        <v>1250</v>
      </c>
      <c r="D196" s="533" t="str">
        <f t="shared" si="8"/>
        <v>KVI22501250</v>
      </c>
      <c r="E196" s="907">
        <f t="shared" si="9"/>
        <v>1927.8140086249998</v>
      </c>
      <c r="F196" s="534">
        <v>21</v>
      </c>
      <c r="G196" s="535">
        <f>F196*CCBASE!$B$51</f>
        <v>756</v>
      </c>
      <c r="H196" s="535">
        <f>CCBASE!$I$12*B196/1000</f>
        <v>269.21370892500005</v>
      </c>
      <c r="I196" s="535"/>
      <c r="J196" s="535"/>
      <c r="K196" s="535"/>
      <c r="L196" s="535">
        <f>CCBASE!$I$14*B196/1000</f>
        <v>471.09072149999997</v>
      </c>
      <c r="M196" s="535"/>
      <c r="N196" s="535"/>
      <c r="O196" s="535">
        <f>CCBASE!$I$45*B196/1000</f>
        <v>22.432500000000001</v>
      </c>
      <c r="P196" s="535"/>
      <c r="Q196" s="535">
        <f>CCBASE!$H$51</f>
        <v>5.16</v>
      </c>
      <c r="R196" s="535">
        <f>CCBASE!$I$4</f>
        <v>8.3986041999999994</v>
      </c>
      <c r="S196" s="535">
        <f>CCBASE!$I$8</f>
        <v>16.25526</v>
      </c>
      <c r="T196" s="535">
        <f>CCBASE!$I$44</f>
        <v>94.69</v>
      </c>
      <c r="U196" s="535"/>
      <c r="V196" s="535"/>
      <c r="W196" s="535">
        <f>CCBASE!$I$40*B196/1000</f>
        <v>92.943089999999998</v>
      </c>
      <c r="X196" s="535"/>
      <c r="Y196" s="535"/>
      <c r="Z196" s="535"/>
      <c r="AA196" s="535"/>
      <c r="AB196" s="535"/>
      <c r="AC196" s="535"/>
      <c r="AD196" s="535">
        <f>CCBASE!$I$36*2</f>
        <v>191.630124</v>
      </c>
    </row>
    <row r="197" spans="1:30" x14ac:dyDescent="0.2">
      <c r="A197" s="533" t="s">
        <v>1044</v>
      </c>
      <c r="B197" s="533">
        <v>2500</v>
      </c>
      <c r="C197" s="533">
        <v>1250</v>
      </c>
      <c r="D197" s="533" t="str">
        <f t="shared" si="8"/>
        <v>KVI25001250</v>
      </c>
      <c r="E197" s="907">
        <f t="shared" si="9"/>
        <v>2022.8895664499998</v>
      </c>
      <c r="F197" s="534">
        <v>21</v>
      </c>
      <c r="G197" s="535">
        <f>F197*CCBASE!$B$51</f>
        <v>756</v>
      </c>
      <c r="H197" s="535">
        <f>CCBASE!$I$12*B197/1000</f>
        <v>299.12634325000005</v>
      </c>
      <c r="I197" s="535"/>
      <c r="J197" s="535"/>
      <c r="K197" s="535"/>
      <c r="L197" s="535">
        <f>CCBASE!$I$14*B197/1000</f>
        <v>523.43413499999997</v>
      </c>
      <c r="M197" s="535"/>
      <c r="N197" s="535"/>
      <c r="O197" s="535">
        <f>CCBASE!$I$45*B197/1000</f>
        <v>24.925000000000001</v>
      </c>
      <c r="P197" s="535"/>
      <c r="Q197" s="535">
        <f>CCBASE!$H$51</f>
        <v>5.16</v>
      </c>
      <c r="R197" s="535">
        <f>CCBASE!$I$4</f>
        <v>8.3986041999999994</v>
      </c>
      <c r="S197" s="535">
        <f>CCBASE!$I$8</f>
        <v>16.25526</v>
      </c>
      <c r="T197" s="535">
        <f>CCBASE!$I$44</f>
        <v>94.69</v>
      </c>
      <c r="U197" s="535"/>
      <c r="V197" s="535"/>
      <c r="W197" s="535">
        <f>CCBASE!$I$40*B197/1000</f>
        <v>103.27009999999999</v>
      </c>
      <c r="X197" s="535"/>
      <c r="Y197" s="535"/>
      <c r="Z197" s="535"/>
      <c r="AA197" s="535"/>
      <c r="AB197" s="535"/>
      <c r="AC197" s="535"/>
      <c r="AD197" s="535">
        <f>CCBASE!$I$36*2</f>
        <v>191.630124</v>
      </c>
    </row>
    <row r="198" spans="1:30" x14ac:dyDescent="0.2">
      <c r="A198" s="533" t="s">
        <v>1044</v>
      </c>
      <c r="B198" s="533">
        <v>2750</v>
      </c>
      <c r="C198" s="533">
        <v>1250</v>
      </c>
      <c r="D198" s="533" t="str">
        <f t="shared" si="8"/>
        <v>KVI27501250</v>
      </c>
      <c r="E198" s="907">
        <f t="shared" si="9"/>
        <v>2117.9651242749997</v>
      </c>
      <c r="F198" s="534">
        <v>21</v>
      </c>
      <c r="G198" s="535">
        <f>F198*CCBASE!$B$51</f>
        <v>756</v>
      </c>
      <c r="H198" s="535">
        <f>CCBASE!$I$12*B198/1000</f>
        <v>329.03897757500005</v>
      </c>
      <c r="I198" s="535"/>
      <c r="J198" s="535"/>
      <c r="K198" s="535"/>
      <c r="L198" s="535">
        <f>CCBASE!$I$14*B198/1000</f>
        <v>575.77754849999997</v>
      </c>
      <c r="M198" s="535"/>
      <c r="N198" s="535"/>
      <c r="O198" s="535">
        <f>CCBASE!$I$45*B198/1000</f>
        <v>27.4175</v>
      </c>
      <c r="P198" s="535"/>
      <c r="Q198" s="535">
        <f>CCBASE!$H$51</f>
        <v>5.16</v>
      </c>
      <c r="R198" s="535">
        <f>CCBASE!$I$4</f>
        <v>8.3986041999999994</v>
      </c>
      <c r="S198" s="535">
        <f>CCBASE!$I$8</f>
        <v>16.25526</v>
      </c>
      <c r="T198" s="535">
        <f>CCBASE!$I$44</f>
        <v>94.69</v>
      </c>
      <c r="U198" s="535"/>
      <c r="V198" s="535"/>
      <c r="W198" s="535">
        <f>CCBASE!$I$40*B198/1000</f>
        <v>113.59711</v>
      </c>
      <c r="X198" s="535"/>
      <c r="Y198" s="535"/>
      <c r="Z198" s="535"/>
      <c r="AA198" s="535"/>
      <c r="AB198" s="535"/>
      <c r="AC198" s="535"/>
      <c r="AD198" s="535">
        <f>CCBASE!$I$36*2</f>
        <v>191.630124</v>
      </c>
    </row>
    <row r="199" spans="1:30" x14ac:dyDescent="0.2">
      <c r="A199" s="533" t="s">
        <v>1044</v>
      </c>
      <c r="B199" s="533">
        <v>3000</v>
      </c>
      <c r="C199" s="533">
        <v>1250</v>
      </c>
      <c r="D199" s="533" t="str">
        <f t="shared" si="8"/>
        <v>KVI30001250</v>
      </c>
      <c r="E199" s="907">
        <f t="shared" si="9"/>
        <v>2213.0406820999997</v>
      </c>
      <c r="F199" s="534">
        <v>21</v>
      </c>
      <c r="G199" s="535">
        <f>F199*CCBASE!$B$51</f>
        <v>756</v>
      </c>
      <c r="H199" s="535">
        <f>CCBASE!$I$12*B199/1000</f>
        <v>358.95161190000005</v>
      </c>
      <c r="I199" s="535"/>
      <c r="J199" s="535"/>
      <c r="K199" s="535"/>
      <c r="L199" s="535">
        <f>CCBASE!$I$14*B199/1000</f>
        <v>628.12096199999996</v>
      </c>
      <c r="M199" s="535"/>
      <c r="N199" s="535"/>
      <c r="O199" s="535">
        <f>CCBASE!$I$45*B199/1000</f>
        <v>29.910000000000004</v>
      </c>
      <c r="P199" s="535"/>
      <c r="Q199" s="535">
        <f>CCBASE!$H$51</f>
        <v>5.16</v>
      </c>
      <c r="R199" s="535">
        <f>CCBASE!$I$4</f>
        <v>8.3986041999999994</v>
      </c>
      <c r="S199" s="535">
        <f>CCBASE!$I$8</f>
        <v>16.25526</v>
      </c>
      <c r="T199" s="535">
        <f>CCBASE!$I$44</f>
        <v>94.69</v>
      </c>
      <c r="U199" s="535"/>
      <c r="V199" s="535"/>
      <c r="W199" s="535">
        <f>CCBASE!$I$40*B199/1000</f>
        <v>123.92412</v>
      </c>
      <c r="X199" s="535"/>
      <c r="Y199" s="535"/>
      <c r="Z199" s="535"/>
      <c r="AA199" s="535"/>
      <c r="AB199" s="535"/>
      <c r="AC199" s="535"/>
      <c r="AD199" s="535">
        <f>CCBASE!$I$36*2</f>
        <v>191.630124</v>
      </c>
    </row>
    <row r="200" spans="1:30" x14ac:dyDescent="0.2">
      <c r="A200" s="533" t="s">
        <v>1044</v>
      </c>
      <c r="B200" s="533">
        <v>1000</v>
      </c>
      <c r="C200" s="533">
        <v>1500</v>
      </c>
      <c r="D200" s="533" t="str">
        <f t="shared" si="8"/>
        <v>KVI10001500</v>
      </c>
      <c r="E200" s="907">
        <f t="shared" si="9"/>
        <v>1482.6787315000001</v>
      </c>
      <c r="F200" s="534">
        <v>20</v>
      </c>
      <c r="G200" s="535">
        <f>F200*CCBASE!$B$51</f>
        <v>720</v>
      </c>
      <c r="H200" s="535">
        <f>CCBASE!$I$12*B200/1000</f>
        <v>119.65053730000001</v>
      </c>
      <c r="I200" s="535"/>
      <c r="J200" s="535"/>
      <c r="K200" s="535"/>
      <c r="L200" s="535">
        <f>CCBASE!$I$14*B200/1000</f>
        <v>209.37365399999999</v>
      </c>
      <c r="M200" s="535"/>
      <c r="N200" s="535"/>
      <c r="O200" s="535">
        <f>CCBASE!$I$45*B200/1000</f>
        <v>9.9700000000000006</v>
      </c>
      <c r="P200" s="535"/>
      <c r="Q200" s="535">
        <f>CCBASE!$H$51</f>
        <v>5.16</v>
      </c>
      <c r="R200" s="535">
        <f>CCBASE!$I$4</f>
        <v>8.3986041999999994</v>
      </c>
      <c r="S200" s="535">
        <f>CCBASE!$I$8</f>
        <v>16.25526</v>
      </c>
      <c r="T200" s="535">
        <f>CCBASE!$I$44</f>
        <v>94.69</v>
      </c>
      <c r="U200" s="535"/>
      <c r="V200" s="535"/>
      <c r="W200" s="535">
        <f>CCBASE!$I$41*B200/1000</f>
        <v>59.051569999999998</v>
      </c>
      <c r="X200" s="535"/>
      <c r="Y200" s="535"/>
      <c r="Z200" s="535"/>
      <c r="AA200" s="535"/>
      <c r="AB200" s="535"/>
      <c r="AC200" s="535"/>
      <c r="AD200" s="535">
        <f>CCBASE!$I$37*2</f>
        <v>240.12910599999998</v>
      </c>
    </row>
    <row r="201" spans="1:30" x14ac:dyDescent="0.2">
      <c r="A201" s="533" t="s">
        <v>1044</v>
      </c>
      <c r="B201" s="533">
        <v>1250</v>
      </c>
      <c r="C201" s="533">
        <v>1500</v>
      </c>
      <c r="D201" s="533" t="str">
        <f t="shared" si="8"/>
        <v>KVI12501500</v>
      </c>
      <c r="E201" s="907">
        <f t="shared" si="9"/>
        <v>1582.1901718250001</v>
      </c>
      <c r="F201" s="534">
        <v>20</v>
      </c>
      <c r="G201" s="535">
        <f>F201*CCBASE!$B$51</f>
        <v>720</v>
      </c>
      <c r="H201" s="535">
        <f>CCBASE!$I$12*B201/1000</f>
        <v>149.56317162500002</v>
      </c>
      <c r="I201" s="535"/>
      <c r="J201" s="535"/>
      <c r="K201" s="535"/>
      <c r="L201" s="535">
        <f>CCBASE!$I$14*B201/1000</f>
        <v>261.71706749999998</v>
      </c>
      <c r="M201" s="535"/>
      <c r="N201" s="535"/>
      <c r="O201" s="535">
        <f>CCBASE!$I$45*B201/1000</f>
        <v>12.4625</v>
      </c>
      <c r="P201" s="535"/>
      <c r="Q201" s="535">
        <f>CCBASE!$H$51</f>
        <v>5.16</v>
      </c>
      <c r="R201" s="535">
        <f>CCBASE!$I$4</f>
        <v>8.3986041999999994</v>
      </c>
      <c r="S201" s="535">
        <f>CCBASE!$I$8</f>
        <v>16.25526</v>
      </c>
      <c r="T201" s="535">
        <f>CCBASE!$I$44</f>
        <v>94.69</v>
      </c>
      <c r="U201" s="535"/>
      <c r="V201" s="535"/>
      <c r="W201" s="535">
        <f>CCBASE!$I$41*B201/1000</f>
        <v>73.814462499999991</v>
      </c>
      <c r="X201" s="535"/>
      <c r="Y201" s="535"/>
      <c r="Z201" s="535"/>
      <c r="AA201" s="535"/>
      <c r="AB201" s="535"/>
      <c r="AC201" s="535"/>
      <c r="AD201" s="535">
        <f>CCBASE!$I$37*2</f>
        <v>240.12910599999998</v>
      </c>
    </row>
    <row r="202" spans="1:30" x14ac:dyDescent="0.2">
      <c r="A202" s="533" t="s">
        <v>1044</v>
      </c>
      <c r="B202" s="533">
        <v>1500</v>
      </c>
      <c r="C202" s="533">
        <v>1500</v>
      </c>
      <c r="D202" s="533" t="str">
        <f t="shared" si="8"/>
        <v>KVI15001500</v>
      </c>
      <c r="E202" s="907">
        <f t="shared" si="9"/>
        <v>1681.7016121499996</v>
      </c>
      <c r="F202" s="534">
        <v>20</v>
      </c>
      <c r="G202" s="535">
        <f>F202*CCBASE!$B$51</f>
        <v>720</v>
      </c>
      <c r="H202" s="535">
        <f>CCBASE!$I$12*B202/1000</f>
        <v>179.47580595000002</v>
      </c>
      <c r="I202" s="535"/>
      <c r="J202" s="535"/>
      <c r="K202" s="535"/>
      <c r="L202" s="535">
        <f>CCBASE!$I$14*B202/1000</f>
        <v>314.06048099999998</v>
      </c>
      <c r="M202" s="535"/>
      <c r="N202" s="535"/>
      <c r="O202" s="535">
        <f>CCBASE!$I$45*B202/1000</f>
        <v>14.955000000000002</v>
      </c>
      <c r="P202" s="535"/>
      <c r="Q202" s="535">
        <f>CCBASE!$H$51</f>
        <v>5.16</v>
      </c>
      <c r="R202" s="535">
        <f>CCBASE!$I$4</f>
        <v>8.3986041999999994</v>
      </c>
      <c r="S202" s="535">
        <f>CCBASE!$I$8</f>
        <v>16.25526</v>
      </c>
      <c r="T202" s="535">
        <f>CCBASE!$I$44</f>
        <v>94.69</v>
      </c>
      <c r="U202" s="535"/>
      <c r="V202" s="535"/>
      <c r="W202" s="535">
        <f>CCBASE!$I$41*B202/1000</f>
        <v>88.577354999999997</v>
      </c>
      <c r="X202" s="535"/>
      <c r="Y202" s="535"/>
      <c r="Z202" s="535"/>
      <c r="AA202" s="535"/>
      <c r="AB202" s="535"/>
      <c r="AC202" s="535"/>
      <c r="AD202" s="535">
        <f>CCBASE!$I$37*2</f>
        <v>240.12910599999998</v>
      </c>
    </row>
    <row r="203" spans="1:30" x14ac:dyDescent="0.2">
      <c r="A203" s="533" t="s">
        <v>1044</v>
      </c>
      <c r="B203" s="533">
        <v>1750</v>
      </c>
      <c r="C203" s="533">
        <v>1500</v>
      </c>
      <c r="D203" s="533" t="str">
        <f t="shared" si="8"/>
        <v>KVI17501500</v>
      </c>
      <c r="E203" s="907">
        <f t="shared" si="9"/>
        <v>1781.213052475</v>
      </c>
      <c r="F203" s="534">
        <v>20</v>
      </c>
      <c r="G203" s="535">
        <f>F203*CCBASE!$B$51</f>
        <v>720</v>
      </c>
      <c r="H203" s="535">
        <f>CCBASE!$I$12*B203/1000</f>
        <v>209.38844027500002</v>
      </c>
      <c r="I203" s="535"/>
      <c r="J203" s="535"/>
      <c r="K203" s="535"/>
      <c r="L203" s="535">
        <f>CCBASE!$I$14*B203/1000</f>
        <v>366.40389449999998</v>
      </c>
      <c r="M203" s="535"/>
      <c r="N203" s="535"/>
      <c r="O203" s="535">
        <f>CCBASE!$I$45*B203/1000</f>
        <v>17.447500000000002</v>
      </c>
      <c r="P203" s="535"/>
      <c r="Q203" s="535">
        <f>CCBASE!$H$51</f>
        <v>5.16</v>
      </c>
      <c r="R203" s="535">
        <f>CCBASE!$I$4</f>
        <v>8.3986041999999994</v>
      </c>
      <c r="S203" s="535">
        <f>CCBASE!$I$8</f>
        <v>16.25526</v>
      </c>
      <c r="T203" s="535">
        <f>CCBASE!$I$44</f>
        <v>94.69</v>
      </c>
      <c r="U203" s="535"/>
      <c r="V203" s="535"/>
      <c r="W203" s="535">
        <f>CCBASE!$I$41*B203/1000</f>
        <v>103.3402475</v>
      </c>
      <c r="X203" s="535"/>
      <c r="Y203" s="535"/>
      <c r="Z203" s="535"/>
      <c r="AA203" s="535"/>
      <c r="AB203" s="535"/>
      <c r="AC203" s="535"/>
      <c r="AD203" s="535">
        <f>CCBASE!$I$37*2</f>
        <v>240.12910599999998</v>
      </c>
    </row>
    <row r="204" spans="1:30" x14ac:dyDescent="0.2">
      <c r="A204" s="533" t="s">
        <v>1044</v>
      </c>
      <c r="B204" s="533">
        <v>2000</v>
      </c>
      <c r="C204" s="533">
        <v>1500</v>
      </c>
      <c r="D204" s="533" t="str">
        <f t="shared" si="8"/>
        <v>KVI20001500</v>
      </c>
      <c r="E204" s="907">
        <f t="shared" si="9"/>
        <v>1880.7244928</v>
      </c>
      <c r="F204" s="534">
        <v>20</v>
      </c>
      <c r="G204" s="535">
        <f>F204*CCBASE!$B$51</f>
        <v>720</v>
      </c>
      <c r="H204" s="535">
        <f>CCBASE!$I$12*B204/1000</f>
        <v>239.30107460000002</v>
      </c>
      <c r="I204" s="535"/>
      <c r="J204" s="535"/>
      <c r="K204" s="535"/>
      <c r="L204" s="535">
        <f>CCBASE!$I$14*B204/1000</f>
        <v>418.74730799999998</v>
      </c>
      <c r="M204" s="535"/>
      <c r="N204" s="535"/>
      <c r="O204" s="535">
        <f>CCBASE!$I$45*B204/1000</f>
        <v>19.940000000000001</v>
      </c>
      <c r="P204" s="535"/>
      <c r="Q204" s="535">
        <f>CCBASE!$H$51</f>
        <v>5.16</v>
      </c>
      <c r="R204" s="535">
        <f>CCBASE!$I$4</f>
        <v>8.3986041999999994</v>
      </c>
      <c r="S204" s="535">
        <f>CCBASE!$I$8</f>
        <v>16.25526</v>
      </c>
      <c r="T204" s="535">
        <f>CCBASE!$I$44</f>
        <v>94.69</v>
      </c>
      <c r="U204" s="535"/>
      <c r="V204" s="535"/>
      <c r="W204" s="535">
        <f>CCBASE!$I$41*B204/1000</f>
        <v>118.10314</v>
      </c>
      <c r="X204" s="535"/>
      <c r="Y204" s="535"/>
      <c r="Z204" s="535"/>
      <c r="AA204" s="535"/>
      <c r="AB204" s="535"/>
      <c r="AC204" s="535"/>
      <c r="AD204" s="535">
        <f>CCBASE!$I$37*2</f>
        <v>240.12910599999998</v>
      </c>
    </row>
    <row r="205" spans="1:30" x14ac:dyDescent="0.2">
      <c r="A205" s="533" t="s">
        <v>1044</v>
      </c>
      <c r="B205" s="533">
        <v>2250</v>
      </c>
      <c r="C205" s="533">
        <v>1500</v>
      </c>
      <c r="D205" s="533" t="str">
        <f t="shared" si="8"/>
        <v>KVI22501500</v>
      </c>
      <c r="E205" s="907">
        <f t="shared" si="9"/>
        <v>2016.235933125</v>
      </c>
      <c r="F205" s="534">
        <v>21</v>
      </c>
      <c r="G205" s="535">
        <f>F205*CCBASE!$B$51</f>
        <v>756</v>
      </c>
      <c r="H205" s="535">
        <f>CCBASE!$I$12*B205/1000</f>
        <v>269.21370892500005</v>
      </c>
      <c r="I205" s="535"/>
      <c r="J205" s="535"/>
      <c r="K205" s="535"/>
      <c r="L205" s="535">
        <f>CCBASE!$I$14*B205/1000</f>
        <v>471.09072149999997</v>
      </c>
      <c r="M205" s="535"/>
      <c r="N205" s="535"/>
      <c r="O205" s="535">
        <f>CCBASE!$I$45*B205/1000</f>
        <v>22.432500000000001</v>
      </c>
      <c r="P205" s="535"/>
      <c r="Q205" s="535">
        <f>CCBASE!$H$51</f>
        <v>5.16</v>
      </c>
      <c r="R205" s="535">
        <f>CCBASE!$I$4</f>
        <v>8.3986041999999994</v>
      </c>
      <c r="S205" s="535">
        <f>CCBASE!$I$8</f>
        <v>16.25526</v>
      </c>
      <c r="T205" s="535">
        <f>CCBASE!$I$44</f>
        <v>94.69</v>
      </c>
      <c r="U205" s="535"/>
      <c r="V205" s="535"/>
      <c r="W205" s="535">
        <f>CCBASE!$I$41*B205/1000</f>
        <v>132.86603249999999</v>
      </c>
      <c r="X205" s="535"/>
      <c r="Y205" s="535"/>
      <c r="Z205" s="535"/>
      <c r="AA205" s="535"/>
      <c r="AB205" s="535"/>
      <c r="AC205" s="535"/>
      <c r="AD205" s="535">
        <f>CCBASE!$I$37*2</f>
        <v>240.12910599999998</v>
      </c>
    </row>
    <row r="206" spans="1:30" x14ac:dyDescent="0.2">
      <c r="A206" s="533" t="s">
        <v>1044</v>
      </c>
      <c r="B206" s="533">
        <v>2500</v>
      </c>
      <c r="C206" s="533">
        <v>1500</v>
      </c>
      <c r="D206" s="533" t="str">
        <f t="shared" si="8"/>
        <v>KVI25001500</v>
      </c>
      <c r="E206" s="907">
        <f t="shared" si="9"/>
        <v>2115.7473734499999</v>
      </c>
      <c r="F206" s="534">
        <v>21</v>
      </c>
      <c r="G206" s="535">
        <f>F206*CCBASE!$B$51</f>
        <v>756</v>
      </c>
      <c r="H206" s="535">
        <f>CCBASE!$I$12*B206/1000</f>
        <v>299.12634325000005</v>
      </c>
      <c r="I206" s="535"/>
      <c r="J206" s="535"/>
      <c r="K206" s="535"/>
      <c r="L206" s="535">
        <f>CCBASE!$I$14*B206/1000</f>
        <v>523.43413499999997</v>
      </c>
      <c r="M206" s="535"/>
      <c r="N206" s="535"/>
      <c r="O206" s="535">
        <f>CCBASE!$I$45*B206/1000</f>
        <v>24.925000000000001</v>
      </c>
      <c r="P206" s="535"/>
      <c r="Q206" s="535">
        <f>CCBASE!$H$51</f>
        <v>5.16</v>
      </c>
      <c r="R206" s="535">
        <f>CCBASE!$I$4</f>
        <v>8.3986041999999994</v>
      </c>
      <c r="S206" s="535">
        <f>CCBASE!$I$8</f>
        <v>16.25526</v>
      </c>
      <c r="T206" s="535">
        <f>CCBASE!$I$44</f>
        <v>94.69</v>
      </c>
      <c r="U206" s="535"/>
      <c r="V206" s="535"/>
      <c r="W206" s="535">
        <f>CCBASE!$I$41*B206/1000</f>
        <v>147.62892499999998</v>
      </c>
      <c r="X206" s="535"/>
      <c r="Y206" s="535"/>
      <c r="Z206" s="535"/>
      <c r="AA206" s="535"/>
      <c r="AB206" s="535"/>
      <c r="AC206" s="535"/>
      <c r="AD206" s="535">
        <f>CCBASE!$I$37*2</f>
        <v>240.12910599999998</v>
      </c>
    </row>
    <row r="207" spans="1:30" x14ac:dyDescent="0.2">
      <c r="A207" s="533" t="s">
        <v>1044</v>
      </c>
      <c r="B207" s="533">
        <v>2750</v>
      </c>
      <c r="C207" s="533">
        <v>1500</v>
      </c>
      <c r="D207" s="533" t="str">
        <f t="shared" si="8"/>
        <v>KVI27501500</v>
      </c>
      <c r="E207" s="907">
        <f t="shared" si="9"/>
        <v>2215.2588137749999</v>
      </c>
      <c r="F207" s="534">
        <v>21</v>
      </c>
      <c r="G207" s="535">
        <f>F207*CCBASE!$B$51</f>
        <v>756</v>
      </c>
      <c r="H207" s="535">
        <f>CCBASE!$I$12*B207/1000</f>
        <v>329.03897757500005</v>
      </c>
      <c r="I207" s="535"/>
      <c r="J207" s="535"/>
      <c r="K207" s="535"/>
      <c r="L207" s="535">
        <f>CCBASE!$I$14*B207/1000</f>
        <v>575.77754849999997</v>
      </c>
      <c r="M207" s="535"/>
      <c r="N207" s="535"/>
      <c r="O207" s="535">
        <f>CCBASE!$I$45*B207/1000</f>
        <v>27.4175</v>
      </c>
      <c r="P207" s="535"/>
      <c r="Q207" s="535">
        <f>CCBASE!$H$51</f>
        <v>5.16</v>
      </c>
      <c r="R207" s="535">
        <f>CCBASE!$I$4</f>
        <v>8.3986041999999994</v>
      </c>
      <c r="S207" s="535">
        <f>CCBASE!$I$8</f>
        <v>16.25526</v>
      </c>
      <c r="T207" s="535">
        <f>CCBASE!$I$44</f>
        <v>94.69</v>
      </c>
      <c r="U207" s="535"/>
      <c r="V207" s="535"/>
      <c r="W207" s="535">
        <f>CCBASE!$I$41*B207/1000</f>
        <v>162.3918175</v>
      </c>
      <c r="X207" s="535"/>
      <c r="Y207" s="535"/>
      <c r="Z207" s="535"/>
      <c r="AA207" s="535"/>
      <c r="AB207" s="535"/>
      <c r="AC207" s="535"/>
      <c r="AD207" s="535">
        <f>CCBASE!$I$37*2</f>
        <v>240.12910599999998</v>
      </c>
    </row>
    <row r="208" spans="1:30" x14ac:dyDescent="0.2">
      <c r="A208" s="533" t="s">
        <v>1044</v>
      </c>
      <c r="B208" s="533">
        <v>3000</v>
      </c>
      <c r="C208" s="533">
        <v>1500</v>
      </c>
      <c r="D208" s="533" t="str">
        <f t="shared" si="8"/>
        <v>KVI30001500</v>
      </c>
      <c r="E208" s="907">
        <f t="shared" si="9"/>
        <v>2314.7702540999999</v>
      </c>
      <c r="F208" s="534">
        <v>21</v>
      </c>
      <c r="G208" s="535">
        <f>F208*CCBASE!$B$51</f>
        <v>756</v>
      </c>
      <c r="H208" s="535">
        <f>CCBASE!$I$12*B208/1000</f>
        <v>358.95161190000005</v>
      </c>
      <c r="I208" s="535"/>
      <c r="J208" s="535"/>
      <c r="K208" s="535"/>
      <c r="L208" s="535">
        <f>CCBASE!$I$14*B208/1000</f>
        <v>628.12096199999996</v>
      </c>
      <c r="M208" s="535"/>
      <c r="N208" s="535"/>
      <c r="O208" s="535">
        <f>CCBASE!$I$45*B208/1000</f>
        <v>29.910000000000004</v>
      </c>
      <c r="P208" s="535"/>
      <c r="Q208" s="535">
        <f>CCBASE!$H$51</f>
        <v>5.16</v>
      </c>
      <c r="R208" s="535">
        <f>CCBASE!$I$4</f>
        <v>8.3986041999999994</v>
      </c>
      <c r="S208" s="535">
        <f>CCBASE!$I$8</f>
        <v>16.25526</v>
      </c>
      <c r="T208" s="535">
        <f>CCBASE!$I$44</f>
        <v>94.69</v>
      </c>
      <c r="U208" s="535"/>
      <c r="V208" s="535"/>
      <c r="W208" s="535">
        <f>CCBASE!$I$41*B208/1000</f>
        <v>177.15470999999999</v>
      </c>
      <c r="X208" s="535"/>
      <c r="Y208" s="535"/>
      <c r="Z208" s="535"/>
      <c r="AA208" s="535"/>
      <c r="AB208" s="535"/>
      <c r="AC208" s="535"/>
      <c r="AD208" s="535">
        <f>CCBASE!$I$37*2</f>
        <v>240.12910599999998</v>
      </c>
    </row>
    <row r="209" spans="1:30" x14ac:dyDescent="0.2">
      <c r="A209" s="533" t="s">
        <v>1044</v>
      </c>
      <c r="B209" s="533">
        <v>1000</v>
      </c>
      <c r="C209" s="533">
        <v>1750</v>
      </c>
      <c r="D209" s="533" t="str">
        <f t="shared" si="8"/>
        <v>KVI10001750</v>
      </c>
      <c r="E209" s="907">
        <f t="shared" si="9"/>
        <v>1526.4461054999999</v>
      </c>
      <c r="F209" s="534">
        <v>20</v>
      </c>
      <c r="G209" s="535">
        <f>F209*CCBASE!$B$51</f>
        <v>720</v>
      </c>
      <c r="H209" s="535">
        <f>CCBASE!$I$12*B209/1000</f>
        <v>119.65053730000001</v>
      </c>
      <c r="I209" s="535"/>
      <c r="J209" s="535"/>
      <c r="K209" s="535"/>
      <c r="L209" s="535">
        <f>CCBASE!$I$14*B209/1000</f>
        <v>209.37365399999999</v>
      </c>
      <c r="M209" s="535"/>
      <c r="N209" s="535"/>
      <c r="O209" s="535">
        <f>CCBASE!$I$45*B209/1000</f>
        <v>9.9700000000000006</v>
      </c>
      <c r="P209" s="535"/>
      <c r="Q209" s="535">
        <f>CCBASE!$H$51</f>
        <v>5.16</v>
      </c>
      <c r="R209" s="535">
        <f>CCBASE!$I$4</f>
        <v>8.3986041999999994</v>
      </c>
      <c r="S209" s="535">
        <f>CCBASE!$I$8</f>
        <v>16.25526</v>
      </c>
      <c r="T209" s="535">
        <f>CCBASE!$I$44</f>
        <v>94.69</v>
      </c>
      <c r="U209" s="534"/>
      <c r="V209" s="534"/>
      <c r="W209" s="535">
        <f>CCBASE!$I$42*B209/1000</f>
        <v>70.880589999999998</v>
      </c>
      <c r="X209" s="535"/>
      <c r="Y209" s="535"/>
      <c r="Z209" s="535"/>
      <c r="AA209" s="535"/>
      <c r="AB209" s="535"/>
      <c r="AC209" s="535"/>
      <c r="AD209" s="535">
        <f>CCBASE!$I$38*2</f>
        <v>272.06745999999998</v>
      </c>
    </row>
    <row r="210" spans="1:30" x14ac:dyDescent="0.2">
      <c r="A210" s="533" t="s">
        <v>1044</v>
      </c>
      <c r="B210" s="533">
        <v>1250</v>
      </c>
      <c r="C210" s="533">
        <v>1750</v>
      </c>
      <c r="D210" s="533" t="str">
        <f t="shared" si="8"/>
        <v>KVI12501750</v>
      </c>
      <c r="E210" s="907">
        <f t="shared" si="9"/>
        <v>1628.9148008249999</v>
      </c>
      <c r="F210" s="534">
        <v>20</v>
      </c>
      <c r="G210" s="535">
        <f>F210*CCBASE!$B$51</f>
        <v>720</v>
      </c>
      <c r="H210" s="535">
        <f>CCBASE!$I$12*B210/1000</f>
        <v>149.56317162500002</v>
      </c>
      <c r="I210" s="535"/>
      <c r="J210" s="535"/>
      <c r="K210" s="535"/>
      <c r="L210" s="535">
        <f>CCBASE!$I$14*B210/1000</f>
        <v>261.71706749999998</v>
      </c>
      <c r="M210" s="535"/>
      <c r="N210" s="535"/>
      <c r="O210" s="535">
        <f>CCBASE!$I$45*B210/1000</f>
        <v>12.4625</v>
      </c>
      <c r="P210" s="535"/>
      <c r="Q210" s="535">
        <f>CCBASE!$H$51</f>
        <v>5.16</v>
      </c>
      <c r="R210" s="535">
        <f>CCBASE!$I$4</f>
        <v>8.3986041999999994</v>
      </c>
      <c r="S210" s="535">
        <f>CCBASE!$I$8</f>
        <v>16.25526</v>
      </c>
      <c r="T210" s="535">
        <f>CCBASE!$I$44</f>
        <v>94.69</v>
      </c>
      <c r="U210" s="534"/>
      <c r="V210" s="534"/>
      <c r="W210" s="535">
        <f>CCBASE!$I$42*B210/1000</f>
        <v>88.600737500000008</v>
      </c>
      <c r="X210" s="535"/>
      <c r="Y210" s="535"/>
      <c r="Z210" s="535"/>
      <c r="AA210" s="535"/>
      <c r="AB210" s="535"/>
      <c r="AC210" s="535"/>
      <c r="AD210" s="535">
        <f>CCBASE!$I$38*2</f>
        <v>272.06745999999998</v>
      </c>
    </row>
    <row r="211" spans="1:30" x14ac:dyDescent="0.2">
      <c r="A211" s="533" t="s">
        <v>1044</v>
      </c>
      <c r="B211" s="533">
        <v>1500</v>
      </c>
      <c r="C211" s="533">
        <v>1750</v>
      </c>
      <c r="D211" s="533" t="str">
        <f t="shared" si="8"/>
        <v>KVI15001750</v>
      </c>
      <c r="E211" s="907">
        <f t="shared" si="9"/>
        <v>1731.3834961499999</v>
      </c>
      <c r="F211" s="534">
        <v>20</v>
      </c>
      <c r="G211" s="535">
        <f>F211*CCBASE!$B$51</f>
        <v>720</v>
      </c>
      <c r="H211" s="535">
        <f>CCBASE!$I$12*B211/1000</f>
        <v>179.47580595000002</v>
      </c>
      <c r="I211" s="535"/>
      <c r="J211" s="535"/>
      <c r="K211" s="535"/>
      <c r="L211" s="535">
        <f>CCBASE!$I$14*B211/1000</f>
        <v>314.06048099999998</v>
      </c>
      <c r="M211" s="535"/>
      <c r="N211" s="535"/>
      <c r="O211" s="535">
        <f>CCBASE!$I$45*B211/1000</f>
        <v>14.955000000000002</v>
      </c>
      <c r="P211" s="535"/>
      <c r="Q211" s="535">
        <f>CCBASE!$H$51</f>
        <v>5.16</v>
      </c>
      <c r="R211" s="535">
        <f>CCBASE!$I$4</f>
        <v>8.3986041999999994</v>
      </c>
      <c r="S211" s="535">
        <f>CCBASE!$I$8</f>
        <v>16.25526</v>
      </c>
      <c r="T211" s="535">
        <f>CCBASE!$I$44</f>
        <v>94.69</v>
      </c>
      <c r="U211" s="534"/>
      <c r="V211" s="534"/>
      <c r="W211" s="535">
        <f>CCBASE!$I$42*B211/1000</f>
        <v>106.32088499999999</v>
      </c>
      <c r="X211" s="535"/>
      <c r="Y211" s="535"/>
      <c r="Z211" s="535"/>
      <c r="AA211" s="535"/>
      <c r="AB211" s="535"/>
      <c r="AC211" s="535"/>
      <c r="AD211" s="535">
        <f>CCBASE!$I$38*2</f>
        <v>272.06745999999998</v>
      </c>
    </row>
    <row r="212" spans="1:30" x14ac:dyDescent="0.2">
      <c r="A212" s="533" t="s">
        <v>1044</v>
      </c>
      <c r="B212" s="533">
        <v>1750</v>
      </c>
      <c r="C212" s="533">
        <v>1750</v>
      </c>
      <c r="D212" s="533" t="str">
        <f t="shared" si="8"/>
        <v>KVI17501750</v>
      </c>
      <c r="E212" s="907">
        <f t="shared" si="9"/>
        <v>1833.8521914749999</v>
      </c>
      <c r="F212" s="534">
        <v>20</v>
      </c>
      <c r="G212" s="535">
        <f>F212*CCBASE!$B$51</f>
        <v>720</v>
      </c>
      <c r="H212" s="535">
        <f>CCBASE!$I$12*B212/1000</f>
        <v>209.38844027500002</v>
      </c>
      <c r="I212" s="535"/>
      <c r="J212" s="535"/>
      <c r="K212" s="535"/>
      <c r="L212" s="535">
        <f>CCBASE!$I$14*B212/1000</f>
        <v>366.40389449999998</v>
      </c>
      <c r="M212" s="535"/>
      <c r="N212" s="535"/>
      <c r="O212" s="535">
        <f>CCBASE!$I$45*B212/1000</f>
        <v>17.447500000000002</v>
      </c>
      <c r="P212" s="535"/>
      <c r="Q212" s="535">
        <f>CCBASE!$H$51</f>
        <v>5.16</v>
      </c>
      <c r="R212" s="535">
        <f>CCBASE!$I$4</f>
        <v>8.3986041999999994</v>
      </c>
      <c r="S212" s="535">
        <f>CCBASE!$I$8</f>
        <v>16.25526</v>
      </c>
      <c r="T212" s="535">
        <f>CCBASE!$I$44</f>
        <v>94.69</v>
      </c>
      <c r="U212" s="534"/>
      <c r="V212" s="534"/>
      <c r="W212" s="535">
        <f>CCBASE!$I$42*B212/1000</f>
        <v>124.0410325</v>
      </c>
      <c r="X212" s="535"/>
      <c r="Y212" s="535"/>
      <c r="Z212" s="535"/>
      <c r="AA212" s="535"/>
      <c r="AB212" s="535"/>
      <c r="AC212" s="535"/>
      <c r="AD212" s="535">
        <f>CCBASE!$I$38*2</f>
        <v>272.06745999999998</v>
      </c>
    </row>
    <row r="213" spans="1:30" x14ac:dyDescent="0.2">
      <c r="A213" s="533" t="s">
        <v>1044</v>
      </c>
      <c r="B213" s="533">
        <v>2000</v>
      </c>
      <c r="C213" s="533">
        <v>1750</v>
      </c>
      <c r="D213" s="533" t="str">
        <f t="shared" si="8"/>
        <v>KVI20001750</v>
      </c>
      <c r="E213" s="907">
        <f t="shared" si="9"/>
        <v>1936.3208867999999</v>
      </c>
      <c r="F213" s="534">
        <v>20</v>
      </c>
      <c r="G213" s="535">
        <f>F213*CCBASE!$B$51</f>
        <v>720</v>
      </c>
      <c r="H213" s="535">
        <f>CCBASE!$I$12*B213/1000</f>
        <v>239.30107460000002</v>
      </c>
      <c r="I213" s="535"/>
      <c r="J213" s="535"/>
      <c r="K213" s="535"/>
      <c r="L213" s="535">
        <f>CCBASE!$I$14*B213/1000</f>
        <v>418.74730799999998</v>
      </c>
      <c r="M213" s="535"/>
      <c r="N213" s="535"/>
      <c r="O213" s="535">
        <f>CCBASE!$I$45*B213/1000</f>
        <v>19.940000000000001</v>
      </c>
      <c r="P213" s="535"/>
      <c r="Q213" s="535">
        <f>CCBASE!$H$51</f>
        <v>5.16</v>
      </c>
      <c r="R213" s="535">
        <f>CCBASE!$I$4</f>
        <v>8.3986041999999994</v>
      </c>
      <c r="S213" s="535">
        <f>CCBASE!$I$8</f>
        <v>16.25526</v>
      </c>
      <c r="T213" s="535">
        <f>CCBASE!$I$44</f>
        <v>94.69</v>
      </c>
      <c r="U213" s="534"/>
      <c r="V213" s="534"/>
      <c r="W213" s="535">
        <f>CCBASE!$I$42*B213/1000</f>
        <v>141.76118</v>
      </c>
      <c r="X213" s="535"/>
      <c r="Y213" s="535"/>
      <c r="Z213" s="535"/>
      <c r="AA213" s="535"/>
      <c r="AB213" s="535"/>
      <c r="AC213" s="535"/>
      <c r="AD213" s="535">
        <f>CCBASE!$I$38*2</f>
        <v>272.06745999999998</v>
      </c>
    </row>
    <row r="214" spans="1:30" x14ac:dyDescent="0.2">
      <c r="A214" s="533" t="s">
        <v>1044</v>
      </c>
      <c r="B214" s="533">
        <v>2250</v>
      </c>
      <c r="C214" s="533">
        <v>1750</v>
      </c>
      <c r="D214" s="533" t="str">
        <f t="shared" si="8"/>
        <v>KVI22501750</v>
      </c>
      <c r="E214" s="907">
        <f t="shared" si="9"/>
        <v>2074.7895821249995</v>
      </c>
      <c r="F214" s="534">
        <v>21</v>
      </c>
      <c r="G214" s="535">
        <f>F214*CCBASE!$B$51</f>
        <v>756</v>
      </c>
      <c r="H214" s="535">
        <f>CCBASE!$I$12*B214/1000</f>
        <v>269.21370892500005</v>
      </c>
      <c r="I214" s="535"/>
      <c r="J214" s="535"/>
      <c r="K214" s="535"/>
      <c r="L214" s="535">
        <f>CCBASE!$I$14*B214/1000</f>
        <v>471.09072149999997</v>
      </c>
      <c r="M214" s="535"/>
      <c r="N214" s="535"/>
      <c r="O214" s="535">
        <f>CCBASE!$I$45*B214/1000</f>
        <v>22.432500000000001</v>
      </c>
      <c r="P214" s="535"/>
      <c r="Q214" s="535">
        <f>CCBASE!$H$51</f>
        <v>5.16</v>
      </c>
      <c r="R214" s="535">
        <f>CCBASE!$I$4</f>
        <v>8.3986041999999994</v>
      </c>
      <c r="S214" s="535">
        <f>CCBASE!$I$8</f>
        <v>16.25526</v>
      </c>
      <c r="T214" s="535">
        <f>CCBASE!$I$44</f>
        <v>94.69</v>
      </c>
      <c r="U214" s="534"/>
      <c r="V214" s="534"/>
      <c r="W214" s="535">
        <f>CCBASE!$I$42*B214/1000</f>
        <v>159.48132749999999</v>
      </c>
      <c r="X214" s="535"/>
      <c r="Y214" s="535"/>
      <c r="Z214" s="535"/>
      <c r="AA214" s="535"/>
      <c r="AB214" s="535"/>
      <c r="AC214" s="535"/>
      <c r="AD214" s="535">
        <f>CCBASE!$I$38*2</f>
        <v>272.06745999999998</v>
      </c>
    </row>
    <row r="215" spans="1:30" x14ac:dyDescent="0.2">
      <c r="A215" s="533" t="s">
        <v>1044</v>
      </c>
      <c r="B215" s="533">
        <v>2500</v>
      </c>
      <c r="C215" s="533">
        <v>1750</v>
      </c>
      <c r="D215" s="533" t="str">
        <f t="shared" si="8"/>
        <v>KVI25001750</v>
      </c>
      <c r="E215" s="907">
        <f t="shared" si="9"/>
        <v>2177.2582774499997</v>
      </c>
      <c r="F215" s="534">
        <v>21</v>
      </c>
      <c r="G215" s="535">
        <f>F215*CCBASE!$B$51</f>
        <v>756</v>
      </c>
      <c r="H215" s="535">
        <f>CCBASE!$I$12*B215/1000</f>
        <v>299.12634325000005</v>
      </c>
      <c r="I215" s="535"/>
      <c r="J215" s="535"/>
      <c r="K215" s="535"/>
      <c r="L215" s="535">
        <f>CCBASE!$I$14*B215/1000</f>
        <v>523.43413499999997</v>
      </c>
      <c r="M215" s="535"/>
      <c r="N215" s="535"/>
      <c r="O215" s="535">
        <f>CCBASE!$I$45*B215/1000</f>
        <v>24.925000000000001</v>
      </c>
      <c r="P215" s="535"/>
      <c r="Q215" s="535">
        <f>CCBASE!$H$51</f>
        <v>5.16</v>
      </c>
      <c r="R215" s="535">
        <f>CCBASE!$I$4</f>
        <v>8.3986041999999994</v>
      </c>
      <c r="S215" s="535">
        <f>CCBASE!$I$8</f>
        <v>16.25526</v>
      </c>
      <c r="T215" s="535">
        <f>CCBASE!$I$44</f>
        <v>94.69</v>
      </c>
      <c r="U215" s="534"/>
      <c r="V215" s="534"/>
      <c r="W215" s="535">
        <f>CCBASE!$I$42*B215/1000</f>
        <v>177.20147500000002</v>
      </c>
      <c r="X215" s="535"/>
      <c r="Y215" s="535"/>
      <c r="Z215" s="535"/>
      <c r="AA215" s="535"/>
      <c r="AB215" s="535"/>
      <c r="AC215" s="535"/>
      <c r="AD215" s="535">
        <f>CCBASE!$I$38*2</f>
        <v>272.06745999999998</v>
      </c>
    </row>
    <row r="216" spans="1:30" x14ac:dyDescent="0.2">
      <c r="A216" s="533" t="s">
        <v>1044</v>
      </c>
      <c r="B216" s="533">
        <v>2750</v>
      </c>
      <c r="C216" s="533">
        <v>1750</v>
      </c>
      <c r="D216" s="533" t="str">
        <f t="shared" si="8"/>
        <v>KVI27501750</v>
      </c>
      <c r="E216" s="907">
        <f t="shared" si="9"/>
        <v>2279.7269727749999</v>
      </c>
      <c r="F216" s="534">
        <v>21</v>
      </c>
      <c r="G216" s="535">
        <f>F216*CCBASE!$B$51</f>
        <v>756</v>
      </c>
      <c r="H216" s="535">
        <f>CCBASE!$I$12*B216/1000</f>
        <v>329.03897757500005</v>
      </c>
      <c r="I216" s="535"/>
      <c r="J216" s="535"/>
      <c r="K216" s="535"/>
      <c r="L216" s="535">
        <f>CCBASE!$I$14*B216/1000</f>
        <v>575.77754849999997</v>
      </c>
      <c r="M216" s="535"/>
      <c r="N216" s="535"/>
      <c r="O216" s="535">
        <f>CCBASE!$I$45*B216/1000</f>
        <v>27.4175</v>
      </c>
      <c r="P216" s="535"/>
      <c r="Q216" s="535">
        <f>CCBASE!$H$51</f>
        <v>5.16</v>
      </c>
      <c r="R216" s="535">
        <f>CCBASE!$I$4</f>
        <v>8.3986041999999994</v>
      </c>
      <c r="S216" s="535">
        <f>CCBASE!$I$8</f>
        <v>16.25526</v>
      </c>
      <c r="T216" s="535">
        <f>CCBASE!$I$44</f>
        <v>94.69</v>
      </c>
      <c r="U216" s="534"/>
      <c r="V216" s="534"/>
      <c r="W216" s="535">
        <f>CCBASE!$I$42*B216/1000</f>
        <v>194.92162249999998</v>
      </c>
      <c r="X216" s="535"/>
      <c r="Y216" s="535"/>
      <c r="Z216" s="535"/>
      <c r="AA216" s="535"/>
      <c r="AB216" s="535"/>
      <c r="AC216" s="535"/>
      <c r="AD216" s="535">
        <f>CCBASE!$I$38*2</f>
        <v>272.06745999999998</v>
      </c>
    </row>
    <row r="217" spans="1:30" x14ac:dyDescent="0.2">
      <c r="A217" s="533" t="s">
        <v>1044</v>
      </c>
      <c r="B217" s="533">
        <v>3000</v>
      </c>
      <c r="C217" s="533">
        <v>1750</v>
      </c>
      <c r="D217" s="533" t="str">
        <f t="shared" si="8"/>
        <v>KVI30001750</v>
      </c>
      <c r="E217" s="907">
        <f t="shared" si="9"/>
        <v>2382.1956681000001</v>
      </c>
      <c r="F217" s="534">
        <v>21</v>
      </c>
      <c r="G217" s="535">
        <f>F217*CCBASE!$B$51</f>
        <v>756</v>
      </c>
      <c r="H217" s="535">
        <f>CCBASE!$I$12*B217/1000</f>
        <v>358.95161190000005</v>
      </c>
      <c r="I217" s="535"/>
      <c r="J217" s="535"/>
      <c r="K217" s="535"/>
      <c r="L217" s="535">
        <f>CCBASE!$I$14*B217/1000</f>
        <v>628.12096199999996</v>
      </c>
      <c r="M217" s="535"/>
      <c r="N217" s="535"/>
      <c r="O217" s="535">
        <f>CCBASE!$I$45*B217/1000</f>
        <v>29.910000000000004</v>
      </c>
      <c r="P217" s="535"/>
      <c r="Q217" s="535">
        <f>CCBASE!$H$51</f>
        <v>5.16</v>
      </c>
      <c r="R217" s="535">
        <f>CCBASE!$I$4</f>
        <v>8.3986041999999994</v>
      </c>
      <c r="S217" s="535">
        <f>CCBASE!$I$8</f>
        <v>16.25526</v>
      </c>
      <c r="T217" s="535">
        <f>CCBASE!$I$44</f>
        <v>94.69</v>
      </c>
      <c r="U217" s="534"/>
      <c r="V217" s="534"/>
      <c r="W217" s="535">
        <f>CCBASE!$I$42*B217/1000</f>
        <v>212.64176999999998</v>
      </c>
      <c r="X217" s="535"/>
      <c r="Y217" s="535"/>
      <c r="Z217" s="535"/>
      <c r="AA217" s="535"/>
      <c r="AB217" s="535"/>
      <c r="AC217" s="535"/>
      <c r="AD217" s="535">
        <f>CCBASE!$I$38*2</f>
        <v>272.06745999999998</v>
      </c>
    </row>
    <row r="218" spans="1:30" x14ac:dyDescent="0.2">
      <c r="A218" s="533" t="s">
        <v>1044</v>
      </c>
      <c r="B218" s="533">
        <v>1000</v>
      </c>
      <c r="C218" s="533">
        <v>2000</v>
      </c>
      <c r="D218" s="533" t="str">
        <f t="shared" si="8"/>
        <v>KVI10002000</v>
      </c>
      <c r="E218" s="907">
        <f t="shared" si="9"/>
        <v>1583.2254014999999</v>
      </c>
      <c r="F218" s="534">
        <v>20</v>
      </c>
      <c r="G218" s="535">
        <f>F218*CCBASE!$B$51</f>
        <v>720</v>
      </c>
      <c r="H218" s="535">
        <f>CCBASE!$I$12*B218/1000</f>
        <v>119.65053730000001</v>
      </c>
      <c r="I218" s="535"/>
      <c r="J218" s="535"/>
      <c r="K218" s="535"/>
      <c r="L218" s="535">
        <f>CCBASE!$I$14*B218/1000</f>
        <v>209.37365399999999</v>
      </c>
      <c r="M218" s="535"/>
      <c r="N218" s="535"/>
      <c r="O218" s="535">
        <f>CCBASE!$I$45*B218/1000</f>
        <v>9.9700000000000006</v>
      </c>
      <c r="P218" s="535"/>
      <c r="Q218" s="535">
        <f>CCBASE!$H$51</f>
        <v>5.16</v>
      </c>
      <c r="R218" s="535">
        <f>CCBASE!$I$4</f>
        <v>8.3986041999999994</v>
      </c>
      <c r="S218" s="535">
        <f>CCBASE!$I$8</f>
        <v>16.25526</v>
      </c>
      <c r="T218" s="535">
        <f>CCBASE!$I$44</f>
        <v>94.69</v>
      </c>
      <c r="U218" s="534"/>
      <c r="V218" s="534"/>
      <c r="W218" s="535">
        <f>CCBASE!$I$43*B218/1000</f>
        <v>88.624119999999991</v>
      </c>
      <c r="X218" s="535"/>
      <c r="Y218" s="535"/>
      <c r="Z218" s="535"/>
      <c r="AA218" s="535"/>
      <c r="AB218" s="535"/>
      <c r="AC218" s="535"/>
      <c r="AD218" s="535">
        <f>CCBASE!$I$39*2</f>
        <v>311.10322599999995</v>
      </c>
    </row>
    <row r="219" spans="1:30" x14ac:dyDescent="0.2">
      <c r="A219" s="533" t="s">
        <v>1044</v>
      </c>
      <c r="B219" s="533">
        <v>1250</v>
      </c>
      <c r="C219" s="533">
        <v>2000</v>
      </c>
      <c r="D219" s="533" t="str">
        <f t="shared" si="8"/>
        <v>KVI12502000</v>
      </c>
      <c r="E219" s="907">
        <f t="shared" si="9"/>
        <v>1667.9505668249999</v>
      </c>
      <c r="F219" s="534">
        <v>20</v>
      </c>
      <c r="G219" s="535">
        <f>F219*CCBASE!$B$51</f>
        <v>720</v>
      </c>
      <c r="H219" s="535">
        <f>CCBASE!$I$12*B219/1000</f>
        <v>149.56317162500002</v>
      </c>
      <c r="I219" s="535"/>
      <c r="J219" s="535"/>
      <c r="K219" s="535"/>
      <c r="L219" s="535">
        <f>CCBASE!$I$14*B219/1000</f>
        <v>261.71706749999998</v>
      </c>
      <c r="M219" s="535"/>
      <c r="N219" s="535"/>
      <c r="O219" s="535">
        <f>CCBASE!$I$45*B219/1000</f>
        <v>12.4625</v>
      </c>
      <c r="P219" s="535"/>
      <c r="Q219" s="535">
        <f>CCBASE!$H$51</f>
        <v>5.16</v>
      </c>
      <c r="R219" s="535">
        <f>CCBASE!$I$4</f>
        <v>8.3986041999999994</v>
      </c>
      <c r="S219" s="535">
        <f>CCBASE!$I$8</f>
        <v>16.25526</v>
      </c>
      <c r="T219" s="535">
        <f>CCBASE!$I$44</f>
        <v>94.69</v>
      </c>
      <c r="U219" s="534"/>
      <c r="V219" s="534"/>
      <c r="W219" s="535">
        <f>CCBASE!$I$42*B219/1000</f>
        <v>88.600737500000008</v>
      </c>
      <c r="X219" s="535"/>
      <c r="Y219" s="535"/>
      <c r="Z219" s="535"/>
      <c r="AA219" s="535"/>
      <c r="AB219" s="535"/>
      <c r="AC219" s="535"/>
      <c r="AD219" s="535">
        <f>CCBASE!$I$39*2</f>
        <v>311.10322599999995</v>
      </c>
    </row>
    <row r="220" spans="1:30" x14ac:dyDescent="0.2">
      <c r="A220" s="533" t="s">
        <v>1044</v>
      </c>
      <c r="B220" s="533">
        <v>1500</v>
      </c>
      <c r="C220" s="533">
        <v>2000</v>
      </c>
      <c r="D220" s="533" t="str">
        <f t="shared" si="8"/>
        <v>KVI15002000</v>
      </c>
      <c r="E220" s="907">
        <f t="shared" si="9"/>
        <v>1770.4192621499999</v>
      </c>
      <c r="F220" s="534">
        <v>20</v>
      </c>
      <c r="G220" s="535">
        <f>F220*CCBASE!$B$51</f>
        <v>720</v>
      </c>
      <c r="H220" s="535">
        <f>CCBASE!$I$12*B220/1000</f>
        <v>179.47580595000002</v>
      </c>
      <c r="I220" s="535"/>
      <c r="J220" s="535"/>
      <c r="K220" s="535"/>
      <c r="L220" s="535">
        <f>CCBASE!$I$14*B220/1000</f>
        <v>314.06048099999998</v>
      </c>
      <c r="M220" s="535"/>
      <c r="N220" s="535"/>
      <c r="O220" s="535">
        <f>CCBASE!$I$45*B220/1000</f>
        <v>14.955000000000002</v>
      </c>
      <c r="P220" s="535"/>
      <c r="Q220" s="535">
        <f>CCBASE!$H$51</f>
        <v>5.16</v>
      </c>
      <c r="R220" s="535">
        <f>CCBASE!$I$4</f>
        <v>8.3986041999999994</v>
      </c>
      <c r="S220" s="535">
        <f>CCBASE!$I$8</f>
        <v>16.25526</v>
      </c>
      <c r="T220" s="535">
        <f>CCBASE!$I$44</f>
        <v>94.69</v>
      </c>
      <c r="U220" s="534"/>
      <c r="V220" s="534"/>
      <c r="W220" s="535">
        <f>CCBASE!$I$42*B220/1000</f>
        <v>106.32088499999999</v>
      </c>
      <c r="X220" s="535"/>
      <c r="Y220" s="535"/>
      <c r="Z220" s="535"/>
      <c r="AA220" s="535"/>
      <c r="AB220" s="535"/>
      <c r="AC220" s="535"/>
      <c r="AD220" s="535">
        <f>CCBASE!$I$39*2</f>
        <v>311.10322599999995</v>
      </c>
    </row>
    <row r="221" spans="1:30" x14ac:dyDescent="0.2">
      <c r="A221" s="533" t="s">
        <v>1044</v>
      </c>
      <c r="B221" s="533">
        <v>1750</v>
      </c>
      <c r="C221" s="533">
        <v>2000</v>
      </c>
      <c r="D221" s="533" t="str">
        <f t="shared" si="8"/>
        <v>KVI17502000</v>
      </c>
      <c r="E221" s="907">
        <f t="shared" si="9"/>
        <v>1872.8879574749999</v>
      </c>
      <c r="F221" s="534">
        <v>20</v>
      </c>
      <c r="G221" s="535">
        <f>F221*CCBASE!$B$51</f>
        <v>720</v>
      </c>
      <c r="H221" s="535">
        <f>CCBASE!$I$12*B221/1000</f>
        <v>209.38844027500002</v>
      </c>
      <c r="I221" s="535"/>
      <c r="J221" s="535"/>
      <c r="K221" s="535"/>
      <c r="L221" s="535">
        <f>CCBASE!$I$14*B221/1000</f>
        <v>366.40389449999998</v>
      </c>
      <c r="M221" s="535"/>
      <c r="N221" s="535"/>
      <c r="O221" s="535">
        <f>CCBASE!$I$45*B221/1000</f>
        <v>17.447500000000002</v>
      </c>
      <c r="P221" s="535"/>
      <c r="Q221" s="535">
        <f>CCBASE!$H$51</f>
        <v>5.16</v>
      </c>
      <c r="R221" s="535">
        <f>CCBASE!$I$4</f>
        <v>8.3986041999999994</v>
      </c>
      <c r="S221" s="535">
        <f>CCBASE!$I$8</f>
        <v>16.25526</v>
      </c>
      <c r="T221" s="535">
        <f>CCBASE!$I$44</f>
        <v>94.69</v>
      </c>
      <c r="U221" s="534"/>
      <c r="V221" s="534"/>
      <c r="W221" s="535">
        <f>CCBASE!$I$42*B221/1000</f>
        <v>124.0410325</v>
      </c>
      <c r="X221" s="535"/>
      <c r="Y221" s="535"/>
      <c r="Z221" s="535"/>
      <c r="AA221" s="535"/>
      <c r="AB221" s="535"/>
      <c r="AC221" s="535"/>
      <c r="AD221" s="535">
        <f>CCBASE!$I$39*2</f>
        <v>311.10322599999995</v>
      </c>
    </row>
    <row r="222" spans="1:30" x14ac:dyDescent="0.2">
      <c r="A222" s="533" t="s">
        <v>1044</v>
      </c>
      <c r="B222" s="533">
        <v>2000</v>
      </c>
      <c r="C222" s="533">
        <v>2000</v>
      </c>
      <c r="D222" s="533" t="str">
        <f t="shared" si="8"/>
        <v>KVI20002000</v>
      </c>
      <c r="E222" s="907">
        <f t="shared" si="9"/>
        <v>1975.3566527999999</v>
      </c>
      <c r="F222" s="534">
        <v>20</v>
      </c>
      <c r="G222" s="535">
        <f>F222*CCBASE!$B$51</f>
        <v>720</v>
      </c>
      <c r="H222" s="535">
        <f>CCBASE!$I$12*B222/1000</f>
        <v>239.30107460000002</v>
      </c>
      <c r="I222" s="535"/>
      <c r="J222" s="535"/>
      <c r="K222" s="535"/>
      <c r="L222" s="535">
        <f>CCBASE!$I$14*B222/1000</f>
        <v>418.74730799999998</v>
      </c>
      <c r="M222" s="535"/>
      <c r="N222" s="535"/>
      <c r="O222" s="535">
        <f>CCBASE!$I$45*B222/1000</f>
        <v>19.940000000000001</v>
      </c>
      <c r="P222" s="535"/>
      <c r="Q222" s="535">
        <f>CCBASE!$H$51</f>
        <v>5.16</v>
      </c>
      <c r="R222" s="535">
        <f>CCBASE!$I$4</f>
        <v>8.3986041999999994</v>
      </c>
      <c r="S222" s="535">
        <f>CCBASE!$I$8</f>
        <v>16.25526</v>
      </c>
      <c r="T222" s="535">
        <f>CCBASE!$I$44</f>
        <v>94.69</v>
      </c>
      <c r="U222" s="534"/>
      <c r="V222" s="534"/>
      <c r="W222" s="535">
        <f>CCBASE!$I$42*B222/1000</f>
        <v>141.76118</v>
      </c>
      <c r="X222" s="535"/>
      <c r="Y222" s="535"/>
      <c r="Z222" s="535"/>
      <c r="AA222" s="535"/>
      <c r="AB222" s="535"/>
      <c r="AC222" s="535"/>
      <c r="AD222" s="535">
        <f>CCBASE!$I$39*2</f>
        <v>311.10322599999995</v>
      </c>
    </row>
    <row r="223" spans="1:30" x14ac:dyDescent="0.2">
      <c r="A223" s="533" t="s">
        <v>1044</v>
      </c>
      <c r="B223" s="533">
        <v>2250</v>
      </c>
      <c r="C223" s="533">
        <v>2000</v>
      </c>
      <c r="D223" s="533" t="str">
        <f t="shared" si="8"/>
        <v>KVI22502000</v>
      </c>
      <c r="E223" s="907">
        <f t="shared" si="9"/>
        <v>2113.8253481249994</v>
      </c>
      <c r="F223" s="534">
        <v>21</v>
      </c>
      <c r="G223" s="535">
        <f>F223*CCBASE!$B$51</f>
        <v>756</v>
      </c>
      <c r="H223" s="535">
        <f>CCBASE!$I$12*B223/1000</f>
        <v>269.21370892500005</v>
      </c>
      <c r="I223" s="535"/>
      <c r="J223" s="535"/>
      <c r="K223" s="535"/>
      <c r="L223" s="535">
        <f>CCBASE!$I$14*B223/1000</f>
        <v>471.09072149999997</v>
      </c>
      <c r="M223" s="535"/>
      <c r="N223" s="535"/>
      <c r="O223" s="535">
        <f>CCBASE!$I$45*B223/1000</f>
        <v>22.432500000000001</v>
      </c>
      <c r="P223" s="535"/>
      <c r="Q223" s="535">
        <f>CCBASE!$H$51</f>
        <v>5.16</v>
      </c>
      <c r="R223" s="535">
        <f>CCBASE!$I$4</f>
        <v>8.3986041999999994</v>
      </c>
      <c r="S223" s="535">
        <f>CCBASE!$I$8</f>
        <v>16.25526</v>
      </c>
      <c r="T223" s="535">
        <f>CCBASE!$I$44</f>
        <v>94.69</v>
      </c>
      <c r="U223" s="534"/>
      <c r="V223" s="534"/>
      <c r="W223" s="535">
        <f>CCBASE!$I$42*B223/1000</f>
        <v>159.48132749999999</v>
      </c>
      <c r="X223" s="535"/>
      <c r="Y223" s="535"/>
      <c r="Z223" s="535"/>
      <c r="AA223" s="535"/>
      <c r="AB223" s="535"/>
      <c r="AC223" s="535"/>
      <c r="AD223" s="535">
        <f>CCBASE!$I$39*2</f>
        <v>311.10322599999995</v>
      </c>
    </row>
    <row r="224" spans="1:30" x14ac:dyDescent="0.2">
      <c r="A224" s="533" t="s">
        <v>1044</v>
      </c>
      <c r="B224" s="533">
        <v>2500</v>
      </c>
      <c r="C224" s="533">
        <v>2000</v>
      </c>
      <c r="D224" s="533" t="str">
        <f t="shared" si="8"/>
        <v>KVI25002000</v>
      </c>
      <c r="E224" s="907">
        <f t="shared" si="9"/>
        <v>2216.2940434499997</v>
      </c>
      <c r="F224" s="534">
        <v>21</v>
      </c>
      <c r="G224" s="535">
        <f>F224*CCBASE!$B$51</f>
        <v>756</v>
      </c>
      <c r="H224" s="535">
        <f>CCBASE!$I$12*B224/1000</f>
        <v>299.12634325000005</v>
      </c>
      <c r="I224" s="535"/>
      <c r="J224" s="535"/>
      <c r="K224" s="535"/>
      <c r="L224" s="535">
        <f>CCBASE!$I$14*B224/1000</f>
        <v>523.43413499999997</v>
      </c>
      <c r="M224" s="535"/>
      <c r="N224" s="535"/>
      <c r="O224" s="535">
        <f>CCBASE!$I$45*B224/1000</f>
        <v>24.925000000000001</v>
      </c>
      <c r="P224" s="535"/>
      <c r="Q224" s="535">
        <f>CCBASE!$H$51</f>
        <v>5.16</v>
      </c>
      <c r="R224" s="535">
        <f>CCBASE!$I$4</f>
        <v>8.3986041999999994</v>
      </c>
      <c r="S224" s="535">
        <f>CCBASE!$I$8</f>
        <v>16.25526</v>
      </c>
      <c r="T224" s="535">
        <f>CCBASE!$I$44</f>
        <v>94.69</v>
      </c>
      <c r="U224" s="534"/>
      <c r="V224" s="534"/>
      <c r="W224" s="535">
        <f>CCBASE!$I$42*B224/1000</f>
        <v>177.20147500000002</v>
      </c>
      <c r="X224" s="535"/>
      <c r="Y224" s="535"/>
      <c r="Z224" s="535"/>
      <c r="AA224" s="535"/>
      <c r="AB224" s="535"/>
      <c r="AC224" s="535"/>
      <c r="AD224" s="535">
        <f>CCBASE!$I$39*2</f>
        <v>311.10322599999995</v>
      </c>
    </row>
    <row r="225" spans="1:45" x14ac:dyDescent="0.2">
      <c r="A225" s="533" t="s">
        <v>1044</v>
      </c>
      <c r="B225" s="533">
        <v>2750</v>
      </c>
      <c r="C225" s="533">
        <v>2000</v>
      </c>
      <c r="D225" s="533" t="str">
        <f t="shared" si="8"/>
        <v>KVI27502000</v>
      </c>
      <c r="E225" s="907">
        <f t="shared" si="9"/>
        <v>2318.7627387749999</v>
      </c>
      <c r="F225" s="534">
        <v>21</v>
      </c>
      <c r="G225" s="535">
        <f>F225*CCBASE!$B$51</f>
        <v>756</v>
      </c>
      <c r="H225" s="535">
        <f>CCBASE!$I$12*B225/1000</f>
        <v>329.03897757500005</v>
      </c>
      <c r="I225" s="535"/>
      <c r="J225" s="535"/>
      <c r="K225" s="535"/>
      <c r="L225" s="535">
        <f>CCBASE!$I$14*B225/1000</f>
        <v>575.77754849999997</v>
      </c>
      <c r="M225" s="535"/>
      <c r="N225" s="535"/>
      <c r="O225" s="535">
        <f>CCBASE!$I$45*B225/1000</f>
        <v>27.4175</v>
      </c>
      <c r="P225" s="535"/>
      <c r="Q225" s="535">
        <f>CCBASE!$H$51</f>
        <v>5.16</v>
      </c>
      <c r="R225" s="535">
        <f>CCBASE!$I$4</f>
        <v>8.3986041999999994</v>
      </c>
      <c r="S225" s="535">
        <f>CCBASE!$I$8</f>
        <v>16.25526</v>
      </c>
      <c r="T225" s="535">
        <f>CCBASE!$I$44</f>
        <v>94.69</v>
      </c>
      <c r="U225" s="534"/>
      <c r="V225" s="534"/>
      <c r="W225" s="535">
        <f>CCBASE!$I$42*B225/1000</f>
        <v>194.92162249999998</v>
      </c>
      <c r="X225" s="535"/>
      <c r="Y225" s="535"/>
      <c r="Z225" s="535"/>
      <c r="AA225" s="535"/>
      <c r="AB225" s="535"/>
      <c r="AC225" s="535"/>
      <c r="AD225" s="535">
        <f>CCBASE!$I$39*2</f>
        <v>311.10322599999995</v>
      </c>
    </row>
    <row r="226" spans="1:45" x14ac:dyDescent="0.2">
      <c r="A226" s="533" t="s">
        <v>1044</v>
      </c>
      <c r="B226" s="533">
        <v>3000</v>
      </c>
      <c r="C226" s="533">
        <v>2000</v>
      </c>
      <c r="D226" s="533" t="str">
        <f t="shared" si="8"/>
        <v>KVI30002000</v>
      </c>
      <c r="E226" s="907">
        <f t="shared" si="9"/>
        <v>2421.2314341000001</v>
      </c>
      <c r="F226" s="534">
        <v>21</v>
      </c>
      <c r="G226" s="535">
        <f>F226*CCBASE!$B$51</f>
        <v>756</v>
      </c>
      <c r="H226" s="535">
        <f>CCBASE!$I$12*B226/1000</f>
        <v>358.95161190000005</v>
      </c>
      <c r="I226" s="535"/>
      <c r="J226" s="535"/>
      <c r="K226" s="535"/>
      <c r="L226" s="535">
        <f>CCBASE!$I$14*B226/1000</f>
        <v>628.12096199999996</v>
      </c>
      <c r="M226" s="535"/>
      <c r="N226" s="535"/>
      <c r="O226" s="535">
        <f>CCBASE!$I$45*B226/1000</f>
        <v>29.910000000000004</v>
      </c>
      <c r="P226" s="535"/>
      <c r="Q226" s="535">
        <f>CCBASE!$H$51</f>
        <v>5.16</v>
      </c>
      <c r="R226" s="535">
        <f>CCBASE!$I$4</f>
        <v>8.3986041999999994</v>
      </c>
      <c r="S226" s="535">
        <f>CCBASE!$I$8</f>
        <v>16.25526</v>
      </c>
      <c r="T226" s="535">
        <f>CCBASE!$I$44</f>
        <v>94.69</v>
      </c>
      <c r="U226" s="534"/>
      <c r="V226" s="534"/>
      <c r="W226" s="535">
        <f>CCBASE!$I$42*B226/1000</f>
        <v>212.64176999999998</v>
      </c>
      <c r="X226" s="535"/>
      <c r="Y226" s="535"/>
      <c r="Z226" s="535"/>
      <c r="AA226" s="535"/>
      <c r="AB226" s="535"/>
      <c r="AC226" s="535"/>
      <c r="AD226" s="535">
        <f>CCBASE!$I$39*2</f>
        <v>311.10322599999995</v>
      </c>
    </row>
    <row r="227" spans="1:45" x14ac:dyDescent="0.2">
      <c r="A227" s="533" t="s">
        <v>1053</v>
      </c>
      <c r="B227" s="533">
        <v>1000</v>
      </c>
      <c r="C227" s="533">
        <v>1000</v>
      </c>
      <c r="D227" s="533" t="str">
        <f t="shared" si="8"/>
        <v>KVF10001000</v>
      </c>
      <c r="E227" s="907">
        <f t="shared" si="9"/>
        <v>1655.7725005</v>
      </c>
      <c r="F227" s="534">
        <v>24.5</v>
      </c>
      <c r="G227" s="535">
        <f>F227*CCBASE!$B$51</f>
        <v>882</v>
      </c>
      <c r="H227" s="535">
        <f>CCBASE!$I$12*B227/1000</f>
        <v>119.65053730000001</v>
      </c>
      <c r="I227" s="535"/>
      <c r="J227" s="535"/>
      <c r="K227" s="535"/>
      <c r="L227" s="535">
        <f>CCBASE!$I$13*B227/1000</f>
        <v>239.537655</v>
      </c>
      <c r="M227" s="535"/>
      <c r="N227" s="535">
        <f>CCBASE!$I$7*B227/1000</f>
        <v>31.542280000000002</v>
      </c>
      <c r="O227" s="535">
        <f>CCBASE!$I$45*B227/1000</f>
        <v>9.9700000000000006</v>
      </c>
      <c r="P227" s="535"/>
      <c r="Q227" s="535">
        <f>CCBASE!$H$51</f>
        <v>5.16</v>
      </c>
      <c r="R227" s="535">
        <f>CCBASE!$I$4</f>
        <v>8.3986041999999994</v>
      </c>
      <c r="S227" s="535">
        <f>CCBASE!$I$8</f>
        <v>16.25526</v>
      </c>
      <c r="T227" s="535">
        <f>CCBASE!$I$44</f>
        <v>94.69</v>
      </c>
      <c r="U227" s="535">
        <f>CCBASE!$I$47</f>
        <v>14.41</v>
      </c>
      <c r="V227" s="535">
        <f>CCBASE!$I$46/2</f>
        <v>1.22</v>
      </c>
      <c r="W227" s="535">
        <f>CCBASE!$I$40*B227/1000</f>
        <v>41.308039999999998</v>
      </c>
      <c r="X227" s="535"/>
      <c r="Y227" s="535"/>
      <c r="Z227" s="535"/>
      <c r="AA227" s="535"/>
      <c r="AB227" s="535"/>
      <c r="AC227" s="535"/>
      <c r="AD227" s="535">
        <f>CCBASE!$I$36*2</f>
        <v>191.630124</v>
      </c>
      <c r="AI227" s="537"/>
      <c r="AJ227" s="537"/>
      <c r="AK227" s="538"/>
      <c r="AL227" s="538"/>
      <c r="AM227" s="538"/>
      <c r="AN227" s="538"/>
      <c r="AO227" s="538"/>
      <c r="AP227" s="538"/>
      <c r="AQ227" s="538"/>
      <c r="AR227" s="538"/>
      <c r="AS227" s="538"/>
    </row>
    <row r="228" spans="1:45" x14ac:dyDescent="0.2">
      <c r="A228" s="533" t="s">
        <v>1053</v>
      </c>
      <c r="B228" s="533">
        <v>1250</v>
      </c>
      <c r="C228" s="533">
        <v>1000</v>
      </c>
      <c r="D228" s="533" t="str">
        <f t="shared" si="8"/>
        <v>KVF12501000</v>
      </c>
      <c r="E228" s="907">
        <f t="shared" si="9"/>
        <v>1780.6846285750003</v>
      </c>
      <c r="F228" s="534">
        <v>24.5</v>
      </c>
      <c r="G228" s="535">
        <f>F228*CCBASE!$B$51</f>
        <v>882</v>
      </c>
      <c r="H228" s="535">
        <f>CCBASE!$I$12*B228/1000</f>
        <v>149.56317162500002</v>
      </c>
      <c r="I228" s="535"/>
      <c r="J228" s="535"/>
      <c r="K228" s="535"/>
      <c r="L228" s="535">
        <f>CCBASE!$I$13*B228/1000</f>
        <v>299.42206874999999</v>
      </c>
      <c r="M228" s="535"/>
      <c r="N228" s="535">
        <f>CCBASE!$I$7*B228/1000</f>
        <v>39.427849999999999</v>
      </c>
      <c r="O228" s="535">
        <f>CCBASE!$I$45*B228/1000</f>
        <v>12.4625</v>
      </c>
      <c r="P228" s="535"/>
      <c r="Q228" s="535">
        <f>CCBASE!$H$51</f>
        <v>5.16</v>
      </c>
      <c r="R228" s="535">
        <f>CCBASE!$I$4</f>
        <v>8.3986041999999994</v>
      </c>
      <c r="S228" s="535">
        <f>CCBASE!$I$8</f>
        <v>16.25526</v>
      </c>
      <c r="T228" s="535">
        <f>CCBASE!$I$44</f>
        <v>94.69</v>
      </c>
      <c r="U228" s="535">
        <f>CCBASE!$I$47*2</f>
        <v>28.82</v>
      </c>
      <c r="V228" s="535">
        <f>CCBASE!$I$46/2</f>
        <v>1.22</v>
      </c>
      <c r="W228" s="535">
        <f>CCBASE!$I$40*B228/1000</f>
        <v>51.635049999999993</v>
      </c>
      <c r="X228" s="535"/>
      <c r="Y228" s="535"/>
      <c r="Z228" s="535"/>
      <c r="AA228" s="535"/>
      <c r="AB228" s="535"/>
      <c r="AC228" s="535"/>
      <c r="AD228" s="535">
        <f>CCBASE!$I$36*2</f>
        <v>191.630124</v>
      </c>
      <c r="AJ228" s="541"/>
    </row>
    <row r="229" spans="1:45" x14ac:dyDescent="0.2">
      <c r="A229" s="533" t="s">
        <v>1053</v>
      </c>
      <c r="B229" s="533">
        <v>1500</v>
      </c>
      <c r="C229" s="533">
        <v>1000</v>
      </c>
      <c r="D229" s="533" t="str">
        <f t="shared" si="8"/>
        <v>KVF15001000</v>
      </c>
      <c r="E229" s="907">
        <f t="shared" si="9"/>
        <v>1891.1867566499998</v>
      </c>
      <c r="F229" s="534">
        <v>24.5</v>
      </c>
      <c r="G229" s="535">
        <f>F229*CCBASE!$B$51</f>
        <v>882</v>
      </c>
      <c r="H229" s="535">
        <f>CCBASE!$I$12*B229/1000</f>
        <v>179.47580595000002</v>
      </c>
      <c r="I229" s="535"/>
      <c r="J229" s="535"/>
      <c r="K229" s="535"/>
      <c r="L229" s="535">
        <f>CCBASE!$I$13*B229/1000</f>
        <v>359.30648249999996</v>
      </c>
      <c r="M229" s="535"/>
      <c r="N229" s="535">
        <f>CCBASE!$I$7*B229/1000</f>
        <v>47.313420000000008</v>
      </c>
      <c r="O229" s="535">
        <f>CCBASE!$I$45*B229/1000</f>
        <v>14.955000000000002</v>
      </c>
      <c r="P229" s="535"/>
      <c r="Q229" s="535">
        <f>CCBASE!$H$51</f>
        <v>5.16</v>
      </c>
      <c r="R229" s="535">
        <f>CCBASE!$I$4</f>
        <v>8.3986041999999994</v>
      </c>
      <c r="S229" s="535">
        <f>CCBASE!$I$8</f>
        <v>16.25526</v>
      </c>
      <c r="T229" s="535">
        <f>CCBASE!$I$44</f>
        <v>94.69</v>
      </c>
      <c r="U229" s="535">
        <f>CCBASE!$I$47*2</f>
        <v>28.82</v>
      </c>
      <c r="V229" s="535">
        <f>CCBASE!$I$46/2</f>
        <v>1.22</v>
      </c>
      <c r="W229" s="535">
        <f>CCBASE!$I$40*B229/1000</f>
        <v>61.962060000000001</v>
      </c>
      <c r="X229" s="535"/>
      <c r="Y229" s="535"/>
      <c r="Z229" s="535"/>
      <c r="AA229" s="535"/>
      <c r="AB229" s="535"/>
      <c r="AC229" s="535"/>
      <c r="AD229" s="535">
        <f>CCBASE!$I$36*2</f>
        <v>191.630124</v>
      </c>
      <c r="AJ229" s="541"/>
    </row>
    <row r="230" spans="1:45" x14ac:dyDescent="0.2">
      <c r="A230" s="533" t="s">
        <v>1053</v>
      </c>
      <c r="B230" s="533">
        <v>1750</v>
      </c>
      <c r="C230" s="533">
        <v>1000</v>
      </c>
      <c r="D230" s="533" t="str">
        <f t="shared" si="8"/>
        <v>KVF17501000</v>
      </c>
      <c r="E230" s="907">
        <f t="shared" si="9"/>
        <v>2002.908884725</v>
      </c>
      <c r="F230" s="534">
        <v>24.5</v>
      </c>
      <c r="G230" s="535">
        <f>F230*CCBASE!$B$51</f>
        <v>882</v>
      </c>
      <c r="H230" s="535">
        <f>CCBASE!$I$12*B230/1000</f>
        <v>209.38844027500002</v>
      </c>
      <c r="I230" s="535"/>
      <c r="J230" s="535"/>
      <c r="K230" s="535"/>
      <c r="L230" s="535">
        <f>CCBASE!$I$13*B230/1000</f>
        <v>419.19089624999998</v>
      </c>
      <c r="M230" s="535"/>
      <c r="N230" s="535">
        <f>CCBASE!$I$7*B230/1000</f>
        <v>55.198990000000002</v>
      </c>
      <c r="O230" s="535">
        <f>CCBASE!$I$45*B230/1000</f>
        <v>17.447500000000002</v>
      </c>
      <c r="P230" s="535"/>
      <c r="Q230" s="535">
        <f>CCBASE!$H$51</f>
        <v>5.16</v>
      </c>
      <c r="R230" s="535">
        <f>CCBASE!$I$4</f>
        <v>8.3986041999999994</v>
      </c>
      <c r="S230" s="535">
        <f>CCBASE!$I$8</f>
        <v>16.25526</v>
      </c>
      <c r="T230" s="535">
        <f>CCBASE!$I$44</f>
        <v>94.69</v>
      </c>
      <c r="U230" s="535">
        <f>CCBASE!$I$47*2</f>
        <v>28.82</v>
      </c>
      <c r="V230" s="535">
        <f>CCBASE!$I$46</f>
        <v>2.44</v>
      </c>
      <c r="W230" s="535">
        <f>CCBASE!$I$40*B230/1000</f>
        <v>72.289069999999995</v>
      </c>
      <c r="X230" s="535"/>
      <c r="Y230" s="535"/>
      <c r="Z230" s="535"/>
      <c r="AA230" s="535"/>
      <c r="AB230" s="535"/>
      <c r="AC230" s="535"/>
      <c r="AD230" s="535">
        <f>CCBASE!$I$36*2</f>
        <v>191.630124</v>
      </c>
    </row>
    <row r="231" spans="1:45" x14ac:dyDescent="0.2">
      <c r="A231" s="533" t="s">
        <v>1053</v>
      </c>
      <c r="B231" s="533">
        <v>2000</v>
      </c>
      <c r="C231" s="533">
        <v>1000</v>
      </c>
      <c r="D231" s="533" t="str">
        <f t="shared" si="8"/>
        <v>KVF20001000</v>
      </c>
      <c r="E231" s="907">
        <f t="shared" si="9"/>
        <v>2113.4110127999998</v>
      </c>
      <c r="F231" s="534">
        <v>24.5</v>
      </c>
      <c r="G231" s="535">
        <f>F231*CCBASE!$B$51</f>
        <v>882</v>
      </c>
      <c r="H231" s="535">
        <f>CCBASE!$I$12*B231/1000</f>
        <v>239.30107460000002</v>
      </c>
      <c r="I231" s="535"/>
      <c r="J231" s="535"/>
      <c r="K231" s="535"/>
      <c r="L231" s="535">
        <f>CCBASE!$I$13*B231/1000</f>
        <v>479.07531</v>
      </c>
      <c r="M231" s="535"/>
      <c r="N231" s="535">
        <f>CCBASE!$I$7*B231/1000</f>
        <v>63.084560000000003</v>
      </c>
      <c r="O231" s="535">
        <f>CCBASE!$I$45*B231/1000</f>
        <v>19.940000000000001</v>
      </c>
      <c r="P231" s="535"/>
      <c r="Q231" s="535">
        <f>CCBASE!$H$51</f>
        <v>5.16</v>
      </c>
      <c r="R231" s="535">
        <f>CCBASE!$I$4</f>
        <v>8.3986041999999994</v>
      </c>
      <c r="S231" s="535">
        <f>CCBASE!$I$8</f>
        <v>16.25526</v>
      </c>
      <c r="T231" s="535">
        <f>CCBASE!$I$44</f>
        <v>94.69</v>
      </c>
      <c r="U231" s="535">
        <f>CCBASE!$I$47*2</f>
        <v>28.82</v>
      </c>
      <c r="V231" s="535">
        <f>CCBASE!$I$46</f>
        <v>2.44</v>
      </c>
      <c r="W231" s="535">
        <f>CCBASE!$I$40*B231/1000</f>
        <v>82.616079999999997</v>
      </c>
      <c r="X231" s="535"/>
      <c r="Y231" s="535"/>
      <c r="Z231" s="535"/>
      <c r="AA231" s="535"/>
      <c r="AB231" s="535"/>
      <c r="AC231" s="535"/>
      <c r="AD231" s="535">
        <f>CCBASE!$I$36*2</f>
        <v>191.630124</v>
      </c>
    </row>
    <row r="232" spans="1:45" x14ac:dyDescent="0.2">
      <c r="A232" s="533" t="s">
        <v>1053</v>
      </c>
      <c r="B232" s="533">
        <v>2250</v>
      </c>
      <c r="C232" s="533">
        <v>1000</v>
      </c>
      <c r="D232" s="533" t="str">
        <f t="shared" si="8"/>
        <v>KVF22501000</v>
      </c>
      <c r="E232" s="907">
        <f t="shared" si="9"/>
        <v>2259.9131408749995</v>
      </c>
      <c r="F232" s="534">
        <v>25.5</v>
      </c>
      <c r="G232" s="535">
        <f>F232*CCBASE!$B$51</f>
        <v>918</v>
      </c>
      <c r="H232" s="535">
        <f>CCBASE!$I$12*B232/1000</f>
        <v>269.21370892500005</v>
      </c>
      <c r="I232" s="535"/>
      <c r="J232" s="535"/>
      <c r="K232" s="535"/>
      <c r="L232" s="535">
        <f>CCBASE!$I$13*B232/1000</f>
        <v>538.95972374999997</v>
      </c>
      <c r="M232" s="535"/>
      <c r="N232" s="535">
        <f>CCBASE!$I$7*B232/1000</f>
        <v>70.970130000000012</v>
      </c>
      <c r="O232" s="535">
        <f>CCBASE!$I$45*B232/1000</f>
        <v>22.432500000000001</v>
      </c>
      <c r="P232" s="535"/>
      <c r="Q232" s="535">
        <f>CCBASE!$H$51</f>
        <v>5.16</v>
      </c>
      <c r="R232" s="535">
        <f>CCBASE!$I$4</f>
        <v>8.3986041999999994</v>
      </c>
      <c r="S232" s="535">
        <f>CCBASE!$I$8</f>
        <v>16.25526</v>
      </c>
      <c r="T232" s="535">
        <f>CCBASE!$I$44</f>
        <v>94.69</v>
      </c>
      <c r="U232" s="535">
        <f>CCBASE!$I$47*2</f>
        <v>28.82</v>
      </c>
      <c r="V232" s="535">
        <f>CCBASE!$I$46</f>
        <v>2.44</v>
      </c>
      <c r="W232" s="535">
        <f>CCBASE!$I$40*B232/1000</f>
        <v>92.943089999999998</v>
      </c>
      <c r="X232" s="535"/>
      <c r="Y232" s="535"/>
      <c r="Z232" s="535"/>
      <c r="AA232" s="535"/>
      <c r="AB232" s="535"/>
      <c r="AC232" s="535"/>
      <c r="AD232" s="535">
        <f>CCBASE!$I$36*2</f>
        <v>191.630124</v>
      </c>
    </row>
    <row r="233" spans="1:45" x14ac:dyDescent="0.2">
      <c r="A233" s="533" t="s">
        <v>1053</v>
      </c>
      <c r="B233" s="533">
        <v>2500</v>
      </c>
      <c r="C233" s="533">
        <v>1000</v>
      </c>
      <c r="D233" s="533" t="str">
        <f t="shared" si="8"/>
        <v>KVF25001000</v>
      </c>
      <c r="E233" s="907">
        <f t="shared" si="9"/>
        <v>2370.4152689500002</v>
      </c>
      <c r="F233" s="534">
        <v>25.5</v>
      </c>
      <c r="G233" s="535">
        <f>F233*CCBASE!$B$51</f>
        <v>918</v>
      </c>
      <c r="H233" s="535">
        <f>CCBASE!$I$12*B233/1000</f>
        <v>299.12634325000005</v>
      </c>
      <c r="I233" s="535"/>
      <c r="J233" s="535"/>
      <c r="K233" s="535"/>
      <c r="L233" s="535">
        <f>CCBASE!$I$13*B233/1000</f>
        <v>598.84413749999999</v>
      </c>
      <c r="M233" s="535"/>
      <c r="N233" s="535">
        <f>CCBASE!$I$7*B233/1000</f>
        <v>78.855699999999999</v>
      </c>
      <c r="O233" s="535">
        <f>CCBASE!$I$45*B233/1000</f>
        <v>24.925000000000001</v>
      </c>
      <c r="P233" s="535"/>
      <c r="Q233" s="535">
        <f>CCBASE!$H$51</f>
        <v>5.16</v>
      </c>
      <c r="R233" s="535">
        <f>CCBASE!$I$4</f>
        <v>8.3986041999999994</v>
      </c>
      <c r="S233" s="535">
        <f>CCBASE!$I$8</f>
        <v>16.25526</v>
      </c>
      <c r="T233" s="535">
        <f>CCBASE!$I$44</f>
        <v>94.69</v>
      </c>
      <c r="U233" s="535">
        <f>CCBASE!$I$47*2</f>
        <v>28.82</v>
      </c>
      <c r="V233" s="535">
        <f>CCBASE!$I$46</f>
        <v>2.44</v>
      </c>
      <c r="W233" s="535">
        <f>CCBASE!$I$40*B233/1000</f>
        <v>103.27009999999999</v>
      </c>
      <c r="X233" s="535"/>
      <c r="Y233" s="535"/>
      <c r="Z233" s="535"/>
      <c r="AA233" s="535"/>
      <c r="AB233" s="535"/>
      <c r="AC233" s="535"/>
      <c r="AD233" s="535">
        <f>CCBASE!$I$36*2</f>
        <v>191.630124</v>
      </c>
    </row>
    <row r="234" spans="1:45" x14ac:dyDescent="0.2">
      <c r="A234" s="533" t="s">
        <v>1053</v>
      </c>
      <c r="B234" s="533">
        <v>2750</v>
      </c>
      <c r="C234" s="533">
        <v>1000</v>
      </c>
      <c r="D234" s="533" t="str">
        <f t="shared" si="8"/>
        <v>KVF27501000</v>
      </c>
      <c r="E234" s="907">
        <f t="shared" si="9"/>
        <v>2480.9173970250004</v>
      </c>
      <c r="F234" s="534">
        <v>25.5</v>
      </c>
      <c r="G234" s="535">
        <f>F234*CCBASE!$B$51</f>
        <v>918</v>
      </c>
      <c r="H234" s="535">
        <f>CCBASE!$I$12*B234/1000</f>
        <v>329.03897757500005</v>
      </c>
      <c r="I234" s="535"/>
      <c r="J234" s="535"/>
      <c r="K234" s="535"/>
      <c r="L234" s="535">
        <f>CCBASE!$I$13*B234/1000</f>
        <v>658.72855125000001</v>
      </c>
      <c r="M234" s="535"/>
      <c r="N234" s="535">
        <f>CCBASE!$I$7*B234/1000</f>
        <v>86.74127</v>
      </c>
      <c r="O234" s="535">
        <f>CCBASE!$I$45*B234/1000</f>
        <v>27.4175</v>
      </c>
      <c r="P234" s="535"/>
      <c r="Q234" s="535">
        <f>CCBASE!$H$51</f>
        <v>5.16</v>
      </c>
      <c r="R234" s="535">
        <f>CCBASE!$I$4</f>
        <v>8.3986041999999994</v>
      </c>
      <c r="S234" s="535">
        <f>CCBASE!$I$8</f>
        <v>16.25526</v>
      </c>
      <c r="T234" s="535">
        <f>CCBASE!$I$44</f>
        <v>94.69</v>
      </c>
      <c r="U234" s="535">
        <f>CCBASE!$I$47*2</f>
        <v>28.82</v>
      </c>
      <c r="V234" s="535">
        <f>CCBASE!$I$46</f>
        <v>2.44</v>
      </c>
      <c r="W234" s="535">
        <f>CCBASE!$I$40*B234/1000</f>
        <v>113.59711</v>
      </c>
      <c r="X234" s="535"/>
      <c r="Y234" s="535"/>
      <c r="Z234" s="535"/>
      <c r="AA234" s="535"/>
      <c r="AB234" s="535"/>
      <c r="AC234" s="535"/>
      <c r="AD234" s="535">
        <f>CCBASE!$I$36*2</f>
        <v>191.630124</v>
      </c>
    </row>
    <row r="235" spans="1:45" x14ac:dyDescent="0.2">
      <c r="A235" s="533" t="s">
        <v>1053</v>
      </c>
      <c r="B235" s="533">
        <v>3000</v>
      </c>
      <c r="C235" s="533">
        <v>1000</v>
      </c>
      <c r="D235" s="533" t="str">
        <f t="shared" si="8"/>
        <v>KVF30001000</v>
      </c>
      <c r="E235" s="907">
        <f t="shared" si="9"/>
        <v>2591.4195250999996</v>
      </c>
      <c r="F235" s="534">
        <v>25.5</v>
      </c>
      <c r="G235" s="535">
        <f>F235*CCBASE!$B$51</f>
        <v>918</v>
      </c>
      <c r="H235" s="535">
        <f>CCBASE!$I$12*B235/1000</f>
        <v>358.95161190000005</v>
      </c>
      <c r="I235" s="535"/>
      <c r="J235" s="535"/>
      <c r="K235" s="535"/>
      <c r="L235" s="535">
        <f>CCBASE!$I$13*B235/1000</f>
        <v>718.61296499999992</v>
      </c>
      <c r="M235" s="535"/>
      <c r="N235" s="535">
        <f>CCBASE!$I$7*B235/1000</f>
        <v>94.626840000000016</v>
      </c>
      <c r="O235" s="535">
        <f>CCBASE!$I$45*B235/1000</f>
        <v>29.910000000000004</v>
      </c>
      <c r="P235" s="535"/>
      <c r="Q235" s="535">
        <f>CCBASE!$H$51</f>
        <v>5.16</v>
      </c>
      <c r="R235" s="535">
        <f>CCBASE!$I$4</f>
        <v>8.3986041999999994</v>
      </c>
      <c r="S235" s="535">
        <f>CCBASE!$I$8</f>
        <v>16.25526</v>
      </c>
      <c r="T235" s="535">
        <f>CCBASE!$I$44</f>
        <v>94.69</v>
      </c>
      <c r="U235" s="535">
        <f>CCBASE!$I$47*2</f>
        <v>28.82</v>
      </c>
      <c r="V235" s="535">
        <f>CCBASE!$I$46</f>
        <v>2.44</v>
      </c>
      <c r="W235" s="535">
        <f>CCBASE!$I$40*B235/1000</f>
        <v>123.92412</v>
      </c>
      <c r="X235" s="535"/>
      <c r="Y235" s="535"/>
      <c r="Z235" s="535"/>
      <c r="AA235" s="535"/>
      <c r="AB235" s="535"/>
      <c r="AC235" s="535"/>
      <c r="AD235" s="535">
        <f>CCBASE!$I$36*2</f>
        <v>191.630124</v>
      </c>
    </row>
    <row r="236" spans="1:45" x14ac:dyDescent="0.2">
      <c r="A236" s="533" t="s">
        <v>1053</v>
      </c>
      <c r="B236" s="533">
        <v>1000</v>
      </c>
      <c r="C236" s="533">
        <v>1250</v>
      </c>
      <c r="D236" s="533" t="str">
        <f t="shared" si="8"/>
        <v>KVF10001250</v>
      </c>
      <c r="E236" s="907">
        <f t="shared" si="9"/>
        <v>1655.7725005</v>
      </c>
      <c r="F236" s="534">
        <v>24.5</v>
      </c>
      <c r="G236" s="535">
        <f>F236*CCBASE!$B$51</f>
        <v>882</v>
      </c>
      <c r="H236" s="535">
        <f>CCBASE!$I$12*B236/1000</f>
        <v>119.65053730000001</v>
      </c>
      <c r="I236" s="535"/>
      <c r="J236" s="535"/>
      <c r="K236" s="535"/>
      <c r="L236" s="535">
        <f>CCBASE!$I$13*B236/1000</f>
        <v>239.537655</v>
      </c>
      <c r="M236" s="535"/>
      <c r="N236" s="535">
        <f>CCBASE!$I$7*B236/1000</f>
        <v>31.542280000000002</v>
      </c>
      <c r="O236" s="535">
        <f>CCBASE!$I$45*B236/1000</f>
        <v>9.9700000000000006</v>
      </c>
      <c r="P236" s="535"/>
      <c r="Q236" s="535">
        <f>CCBASE!$H$51</f>
        <v>5.16</v>
      </c>
      <c r="R236" s="535">
        <f>CCBASE!$I$4</f>
        <v>8.3986041999999994</v>
      </c>
      <c r="S236" s="535">
        <f>CCBASE!$I$8</f>
        <v>16.25526</v>
      </c>
      <c r="T236" s="535">
        <f>CCBASE!$I$44</f>
        <v>94.69</v>
      </c>
      <c r="U236" s="535">
        <f>CCBASE!$I$47</f>
        <v>14.41</v>
      </c>
      <c r="V236" s="535">
        <f>CCBASE!$I$46/2</f>
        <v>1.22</v>
      </c>
      <c r="W236" s="535">
        <f>CCBASE!$I$40*B236/1000</f>
        <v>41.308039999999998</v>
      </c>
      <c r="X236" s="535"/>
      <c r="Y236" s="535"/>
      <c r="Z236" s="535"/>
      <c r="AA236" s="535"/>
      <c r="AB236" s="535"/>
      <c r="AC236" s="535"/>
      <c r="AD236" s="535">
        <f>CCBASE!$I$36*2</f>
        <v>191.630124</v>
      </c>
    </row>
    <row r="237" spans="1:45" x14ac:dyDescent="0.2">
      <c r="A237" s="533" t="s">
        <v>1053</v>
      </c>
      <c r="B237" s="533">
        <v>1250</v>
      </c>
      <c r="C237" s="533">
        <v>1250</v>
      </c>
      <c r="D237" s="533" t="str">
        <f t="shared" si="8"/>
        <v>KVF12501250</v>
      </c>
      <c r="E237" s="907">
        <f t="shared" si="9"/>
        <v>1780.6846285750003</v>
      </c>
      <c r="F237" s="534">
        <v>24.5</v>
      </c>
      <c r="G237" s="535">
        <f>F237*CCBASE!$B$51</f>
        <v>882</v>
      </c>
      <c r="H237" s="535">
        <f>CCBASE!$I$12*B237/1000</f>
        <v>149.56317162500002</v>
      </c>
      <c r="I237" s="535"/>
      <c r="J237" s="535"/>
      <c r="K237" s="535"/>
      <c r="L237" s="535">
        <f>CCBASE!$I$13*B237/1000</f>
        <v>299.42206874999999</v>
      </c>
      <c r="M237" s="535"/>
      <c r="N237" s="535">
        <f>CCBASE!$I$7*B237/1000</f>
        <v>39.427849999999999</v>
      </c>
      <c r="O237" s="535">
        <f>CCBASE!$I$45*B237/1000</f>
        <v>12.4625</v>
      </c>
      <c r="P237" s="535"/>
      <c r="Q237" s="535">
        <f>CCBASE!$H$51</f>
        <v>5.16</v>
      </c>
      <c r="R237" s="535">
        <f>CCBASE!$I$4</f>
        <v>8.3986041999999994</v>
      </c>
      <c r="S237" s="535">
        <f>CCBASE!$I$8</f>
        <v>16.25526</v>
      </c>
      <c r="T237" s="535">
        <f>CCBASE!$I$44</f>
        <v>94.69</v>
      </c>
      <c r="U237" s="535">
        <f>CCBASE!$I$47*2</f>
        <v>28.82</v>
      </c>
      <c r="V237" s="535">
        <f>CCBASE!$I$46/2</f>
        <v>1.22</v>
      </c>
      <c r="W237" s="535">
        <f>CCBASE!$I$40*B237/1000</f>
        <v>51.635049999999993</v>
      </c>
      <c r="X237" s="535"/>
      <c r="Y237" s="535"/>
      <c r="Z237" s="535"/>
      <c r="AA237" s="535"/>
      <c r="AB237" s="535"/>
      <c r="AC237" s="535"/>
      <c r="AD237" s="535">
        <f>CCBASE!$I$36*2</f>
        <v>191.630124</v>
      </c>
    </row>
    <row r="238" spans="1:45" x14ac:dyDescent="0.2">
      <c r="A238" s="533" t="s">
        <v>1053</v>
      </c>
      <c r="B238" s="533">
        <v>1500</v>
      </c>
      <c r="C238" s="533">
        <v>1250</v>
      </c>
      <c r="D238" s="533" t="str">
        <f t="shared" si="8"/>
        <v>KVF15001250</v>
      </c>
      <c r="E238" s="907">
        <f t="shared" si="9"/>
        <v>1891.1867566499998</v>
      </c>
      <c r="F238" s="534">
        <v>24.5</v>
      </c>
      <c r="G238" s="535">
        <f>F238*CCBASE!$B$51</f>
        <v>882</v>
      </c>
      <c r="H238" s="535">
        <f>CCBASE!$I$12*B238/1000</f>
        <v>179.47580595000002</v>
      </c>
      <c r="I238" s="535"/>
      <c r="J238" s="535"/>
      <c r="K238" s="535"/>
      <c r="L238" s="535">
        <f>CCBASE!$I$13*B238/1000</f>
        <v>359.30648249999996</v>
      </c>
      <c r="M238" s="535"/>
      <c r="N238" s="535">
        <f>CCBASE!$I$7*B238/1000</f>
        <v>47.313420000000008</v>
      </c>
      <c r="O238" s="535">
        <f>CCBASE!$I$45*B238/1000</f>
        <v>14.955000000000002</v>
      </c>
      <c r="P238" s="535"/>
      <c r="Q238" s="535">
        <f>CCBASE!$H$51</f>
        <v>5.16</v>
      </c>
      <c r="R238" s="535">
        <f>CCBASE!$I$4</f>
        <v>8.3986041999999994</v>
      </c>
      <c r="S238" s="535">
        <f>CCBASE!$I$8</f>
        <v>16.25526</v>
      </c>
      <c r="T238" s="535">
        <f>CCBASE!$I$44</f>
        <v>94.69</v>
      </c>
      <c r="U238" s="535">
        <f>CCBASE!$I$47*2</f>
        <v>28.82</v>
      </c>
      <c r="V238" s="535">
        <f>CCBASE!$I$46/2</f>
        <v>1.22</v>
      </c>
      <c r="W238" s="535">
        <f>CCBASE!$I$40*B238/1000</f>
        <v>61.962060000000001</v>
      </c>
      <c r="X238" s="535"/>
      <c r="Y238" s="535"/>
      <c r="Z238" s="535"/>
      <c r="AA238" s="535"/>
      <c r="AB238" s="535"/>
      <c r="AC238" s="535"/>
      <c r="AD238" s="535">
        <f>CCBASE!$I$36*2</f>
        <v>191.630124</v>
      </c>
    </row>
    <row r="239" spans="1:45" x14ac:dyDescent="0.2">
      <c r="A239" s="533" t="s">
        <v>1053</v>
      </c>
      <c r="B239" s="533">
        <v>1750</v>
      </c>
      <c r="C239" s="533">
        <v>1250</v>
      </c>
      <c r="D239" s="533" t="str">
        <f t="shared" si="8"/>
        <v>KVF17501250</v>
      </c>
      <c r="E239" s="907">
        <f t="shared" si="9"/>
        <v>2002.908884725</v>
      </c>
      <c r="F239" s="534">
        <v>24.5</v>
      </c>
      <c r="G239" s="535">
        <f>F239*CCBASE!$B$51</f>
        <v>882</v>
      </c>
      <c r="H239" s="535">
        <f>CCBASE!$I$12*B239/1000</f>
        <v>209.38844027500002</v>
      </c>
      <c r="I239" s="535"/>
      <c r="J239" s="535"/>
      <c r="K239" s="535"/>
      <c r="L239" s="535">
        <f>CCBASE!$I$13*B239/1000</f>
        <v>419.19089624999998</v>
      </c>
      <c r="M239" s="535"/>
      <c r="N239" s="535">
        <f>CCBASE!$I$7*B239/1000</f>
        <v>55.198990000000002</v>
      </c>
      <c r="O239" s="535">
        <f>CCBASE!$I$45*B239/1000</f>
        <v>17.447500000000002</v>
      </c>
      <c r="P239" s="535"/>
      <c r="Q239" s="535">
        <f>CCBASE!$H$51</f>
        <v>5.16</v>
      </c>
      <c r="R239" s="535">
        <f>CCBASE!$I$4</f>
        <v>8.3986041999999994</v>
      </c>
      <c r="S239" s="535">
        <f>CCBASE!$I$8</f>
        <v>16.25526</v>
      </c>
      <c r="T239" s="535">
        <f>CCBASE!$I$44</f>
        <v>94.69</v>
      </c>
      <c r="U239" s="535">
        <f>CCBASE!$I$47*2</f>
        <v>28.82</v>
      </c>
      <c r="V239" s="535">
        <f>CCBASE!$I$46</f>
        <v>2.44</v>
      </c>
      <c r="W239" s="535">
        <f>CCBASE!$I$40*B239/1000</f>
        <v>72.289069999999995</v>
      </c>
      <c r="X239" s="535"/>
      <c r="Y239" s="535"/>
      <c r="Z239" s="535"/>
      <c r="AA239" s="535"/>
      <c r="AB239" s="535"/>
      <c r="AC239" s="535"/>
      <c r="AD239" s="535">
        <f>CCBASE!$I$36*2</f>
        <v>191.630124</v>
      </c>
    </row>
    <row r="240" spans="1:45" x14ac:dyDescent="0.2">
      <c r="A240" s="533" t="s">
        <v>1053</v>
      </c>
      <c r="B240" s="533">
        <v>2000</v>
      </c>
      <c r="C240" s="533">
        <v>1250</v>
      </c>
      <c r="D240" s="533" t="str">
        <f t="shared" si="8"/>
        <v>KVF20001250</v>
      </c>
      <c r="E240" s="907">
        <f t="shared" si="9"/>
        <v>2113.4110127999998</v>
      </c>
      <c r="F240" s="534">
        <v>24.5</v>
      </c>
      <c r="G240" s="535">
        <f>F240*CCBASE!$B$51</f>
        <v>882</v>
      </c>
      <c r="H240" s="535">
        <f>CCBASE!$I$12*B240/1000</f>
        <v>239.30107460000002</v>
      </c>
      <c r="I240" s="535"/>
      <c r="J240" s="535"/>
      <c r="K240" s="535"/>
      <c r="L240" s="535">
        <f>CCBASE!$I$13*B240/1000</f>
        <v>479.07531</v>
      </c>
      <c r="M240" s="535"/>
      <c r="N240" s="535">
        <f>CCBASE!$I$7*B240/1000</f>
        <v>63.084560000000003</v>
      </c>
      <c r="O240" s="535">
        <f>CCBASE!$I$45*B240/1000</f>
        <v>19.940000000000001</v>
      </c>
      <c r="P240" s="535"/>
      <c r="Q240" s="535">
        <f>CCBASE!$H$51</f>
        <v>5.16</v>
      </c>
      <c r="R240" s="535">
        <f>CCBASE!$I$4</f>
        <v>8.3986041999999994</v>
      </c>
      <c r="S240" s="535">
        <f>CCBASE!$I$8</f>
        <v>16.25526</v>
      </c>
      <c r="T240" s="535">
        <f>CCBASE!$I$44</f>
        <v>94.69</v>
      </c>
      <c r="U240" s="535">
        <f>CCBASE!$I$47*2</f>
        <v>28.82</v>
      </c>
      <c r="V240" s="535">
        <f>CCBASE!$I$46</f>
        <v>2.44</v>
      </c>
      <c r="W240" s="535">
        <f>CCBASE!$I$40*B240/1000</f>
        <v>82.616079999999997</v>
      </c>
      <c r="X240" s="535"/>
      <c r="Y240" s="535"/>
      <c r="Z240" s="535"/>
      <c r="AA240" s="535"/>
      <c r="AB240" s="535"/>
      <c r="AC240" s="535"/>
      <c r="AD240" s="535">
        <f>CCBASE!$I$36*2</f>
        <v>191.630124</v>
      </c>
    </row>
    <row r="241" spans="1:30" x14ac:dyDescent="0.2">
      <c r="A241" s="533" t="s">
        <v>1053</v>
      </c>
      <c r="B241" s="533">
        <v>2250</v>
      </c>
      <c r="C241" s="533">
        <v>1250</v>
      </c>
      <c r="D241" s="533" t="str">
        <f t="shared" si="8"/>
        <v>KVF22501250</v>
      </c>
      <c r="E241" s="907">
        <f t="shared" si="9"/>
        <v>2223.9131408749995</v>
      </c>
      <c r="F241" s="534">
        <v>24.5</v>
      </c>
      <c r="G241" s="535">
        <f>F241*CCBASE!$B$51</f>
        <v>882</v>
      </c>
      <c r="H241" s="535">
        <f>CCBASE!$I$12*B241/1000</f>
        <v>269.21370892500005</v>
      </c>
      <c r="I241" s="535"/>
      <c r="J241" s="535"/>
      <c r="K241" s="535"/>
      <c r="L241" s="535">
        <f>CCBASE!$I$13*B241/1000</f>
        <v>538.95972374999997</v>
      </c>
      <c r="M241" s="535"/>
      <c r="N241" s="535">
        <f>CCBASE!$I$7*B241/1000</f>
        <v>70.970130000000012</v>
      </c>
      <c r="O241" s="535">
        <f>CCBASE!$I$45*B241/1000</f>
        <v>22.432500000000001</v>
      </c>
      <c r="P241" s="535"/>
      <c r="Q241" s="535">
        <f>CCBASE!$H$51</f>
        <v>5.16</v>
      </c>
      <c r="R241" s="535">
        <f>CCBASE!$I$4</f>
        <v>8.3986041999999994</v>
      </c>
      <c r="S241" s="535">
        <f>CCBASE!$I$8</f>
        <v>16.25526</v>
      </c>
      <c r="T241" s="535">
        <f>CCBASE!$I$44</f>
        <v>94.69</v>
      </c>
      <c r="U241" s="535">
        <f>CCBASE!$I$47*2</f>
        <v>28.82</v>
      </c>
      <c r="V241" s="535">
        <f>CCBASE!$I$46</f>
        <v>2.44</v>
      </c>
      <c r="W241" s="535">
        <f>CCBASE!$I$40*B241/1000</f>
        <v>92.943089999999998</v>
      </c>
      <c r="X241" s="535"/>
      <c r="Y241" s="535"/>
      <c r="Z241" s="535"/>
      <c r="AA241" s="535"/>
      <c r="AB241" s="535"/>
      <c r="AC241" s="535"/>
      <c r="AD241" s="535">
        <f>CCBASE!$I$36*2</f>
        <v>191.630124</v>
      </c>
    </row>
    <row r="242" spans="1:30" x14ac:dyDescent="0.2">
      <c r="A242" s="533" t="s">
        <v>1053</v>
      </c>
      <c r="B242" s="533">
        <v>2500</v>
      </c>
      <c r="C242" s="533">
        <v>1250</v>
      </c>
      <c r="D242" s="533" t="str">
        <f t="shared" si="8"/>
        <v>KVF25001250</v>
      </c>
      <c r="E242" s="907">
        <f t="shared" si="9"/>
        <v>2370.4152689500002</v>
      </c>
      <c r="F242" s="534">
        <v>25.5</v>
      </c>
      <c r="G242" s="535">
        <f>F242*CCBASE!$B$51</f>
        <v>918</v>
      </c>
      <c r="H242" s="535">
        <f>CCBASE!$I$12*B242/1000</f>
        <v>299.12634325000005</v>
      </c>
      <c r="I242" s="535"/>
      <c r="J242" s="535"/>
      <c r="K242" s="535"/>
      <c r="L242" s="535">
        <f>CCBASE!$I$13*B242/1000</f>
        <v>598.84413749999999</v>
      </c>
      <c r="M242" s="535"/>
      <c r="N242" s="535">
        <f>CCBASE!$I$7*B242/1000</f>
        <v>78.855699999999999</v>
      </c>
      <c r="O242" s="535">
        <f>CCBASE!$I$45*B242/1000</f>
        <v>24.925000000000001</v>
      </c>
      <c r="P242" s="535"/>
      <c r="Q242" s="535">
        <f>CCBASE!$H$51</f>
        <v>5.16</v>
      </c>
      <c r="R242" s="535">
        <f>CCBASE!$I$4</f>
        <v>8.3986041999999994</v>
      </c>
      <c r="S242" s="535">
        <f>CCBASE!$I$8</f>
        <v>16.25526</v>
      </c>
      <c r="T242" s="535">
        <f>CCBASE!$I$44</f>
        <v>94.69</v>
      </c>
      <c r="U242" s="535">
        <f>CCBASE!$I$47*2</f>
        <v>28.82</v>
      </c>
      <c r="V242" s="535">
        <f>CCBASE!$I$46</f>
        <v>2.44</v>
      </c>
      <c r="W242" s="535">
        <f>CCBASE!$I$40*B242/1000</f>
        <v>103.27009999999999</v>
      </c>
      <c r="X242" s="535"/>
      <c r="Y242" s="535"/>
      <c r="Z242" s="535"/>
      <c r="AA242" s="535"/>
      <c r="AB242" s="535"/>
      <c r="AC242" s="535"/>
      <c r="AD242" s="535">
        <f>CCBASE!$I$36*2</f>
        <v>191.630124</v>
      </c>
    </row>
    <row r="243" spans="1:30" x14ac:dyDescent="0.2">
      <c r="A243" s="533" t="s">
        <v>1053</v>
      </c>
      <c r="B243" s="533">
        <v>2750</v>
      </c>
      <c r="C243" s="533">
        <v>1250</v>
      </c>
      <c r="D243" s="533" t="str">
        <f t="shared" si="8"/>
        <v>KVF27501250</v>
      </c>
      <c r="E243" s="907">
        <f t="shared" si="9"/>
        <v>2480.9173970250004</v>
      </c>
      <c r="F243" s="534">
        <v>25.5</v>
      </c>
      <c r="G243" s="535">
        <f>F243*CCBASE!$B$51</f>
        <v>918</v>
      </c>
      <c r="H243" s="535">
        <f>CCBASE!$I$12*B243/1000</f>
        <v>329.03897757500005</v>
      </c>
      <c r="I243" s="535"/>
      <c r="J243" s="535"/>
      <c r="K243" s="535"/>
      <c r="L243" s="535">
        <f>CCBASE!$I$13*B243/1000</f>
        <v>658.72855125000001</v>
      </c>
      <c r="M243" s="535"/>
      <c r="N243" s="535">
        <f>CCBASE!$I$7*B243/1000</f>
        <v>86.74127</v>
      </c>
      <c r="O243" s="535">
        <f>CCBASE!$I$45*B243/1000</f>
        <v>27.4175</v>
      </c>
      <c r="P243" s="535"/>
      <c r="Q243" s="535">
        <f>CCBASE!$H$51</f>
        <v>5.16</v>
      </c>
      <c r="R243" s="535">
        <f>CCBASE!$I$4</f>
        <v>8.3986041999999994</v>
      </c>
      <c r="S243" s="535">
        <f>CCBASE!$I$8</f>
        <v>16.25526</v>
      </c>
      <c r="T243" s="535">
        <f>CCBASE!$I$44</f>
        <v>94.69</v>
      </c>
      <c r="U243" s="535">
        <f>CCBASE!$I$47*2</f>
        <v>28.82</v>
      </c>
      <c r="V243" s="535">
        <f>CCBASE!$I$46</f>
        <v>2.44</v>
      </c>
      <c r="W243" s="535">
        <f>CCBASE!$I$40*B243/1000</f>
        <v>113.59711</v>
      </c>
      <c r="X243" s="535"/>
      <c r="Y243" s="535"/>
      <c r="Z243" s="535"/>
      <c r="AA243" s="535"/>
      <c r="AB243" s="535"/>
      <c r="AC243" s="535"/>
      <c r="AD243" s="535">
        <f>CCBASE!$I$36*2</f>
        <v>191.630124</v>
      </c>
    </row>
    <row r="244" spans="1:30" x14ac:dyDescent="0.2">
      <c r="A244" s="533" t="s">
        <v>1053</v>
      </c>
      <c r="B244" s="533">
        <v>3000</v>
      </c>
      <c r="C244" s="533">
        <v>1250</v>
      </c>
      <c r="D244" s="533" t="str">
        <f t="shared" si="8"/>
        <v>KVF30001250</v>
      </c>
      <c r="E244" s="907">
        <f t="shared" si="9"/>
        <v>2591.4195250999996</v>
      </c>
      <c r="F244" s="534">
        <v>25.5</v>
      </c>
      <c r="G244" s="535">
        <f>F244*CCBASE!$B$51</f>
        <v>918</v>
      </c>
      <c r="H244" s="535">
        <f>CCBASE!$I$12*B244/1000</f>
        <v>358.95161190000005</v>
      </c>
      <c r="I244" s="535"/>
      <c r="J244" s="535"/>
      <c r="K244" s="535"/>
      <c r="L244" s="535">
        <f>CCBASE!$I$13*B244/1000</f>
        <v>718.61296499999992</v>
      </c>
      <c r="M244" s="535"/>
      <c r="N244" s="535">
        <f>CCBASE!$I$7*B244/1000</f>
        <v>94.626840000000016</v>
      </c>
      <c r="O244" s="535">
        <f>CCBASE!$I$45*B244/1000</f>
        <v>29.910000000000004</v>
      </c>
      <c r="P244" s="535"/>
      <c r="Q244" s="535">
        <f>CCBASE!$H$51</f>
        <v>5.16</v>
      </c>
      <c r="R244" s="535">
        <f>CCBASE!$I$4</f>
        <v>8.3986041999999994</v>
      </c>
      <c r="S244" s="535">
        <f>CCBASE!$I$8</f>
        <v>16.25526</v>
      </c>
      <c r="T244" s="535">
        <f>CCBASE!$I$44</f>
        <v>94.69</v>
      </c>
      <c r="U244" s="535">
        <f>CCBASE!$I$47*2</f>
        <v>28.82</v>
      </c>
      <c r="V244" s="535">
        <f>CCBASE!$I$46</f>
        <v>2.44</v>
      </c>
      <c r="W244" s="535">
        <f>CCBASE!$I$40*B244/1000</f>
        <v>123.92412</v>
      </c>
      <c r="X244" s="535"/>
      <c r="Y244" s="535"/>
      <c r="Z244" s="535"/>
      <c r="AA244" s="535"/>
      <c r="AB244" s="535"/>
      <c r="AC244" s="535"/>
      <c r="AD244" s="535">
        <f>CCBASE!$I$36*2</f>
        <v>191.630124</v>
      </c>
    </row>
    <row r="245" spans="1:30" x14ac:dyDescent="0.2">
      <c r="A245" s="533" t="s">
        <v>1053</v>
      </c>
      <c r="B245" s="533">
        <v>1000</v>
      </c>
      <c r="C245" s="533">
        <v>1500</v>
      </c>
      <c r="D245" s="533" t="str">
        <f t="shared" si="8"/>
        <v>KVF10001500</v>
      </c>
      <c r="E245" s="907">
        <f t="shared" si="9"/>
        <v>1722.0150125</v>
      </c>
      <c r="F245" s="534">
        <v>24.5</v>
      </c>
      <c r="G245" s="535">
        <f>F245*CCBASE!$B$51</f>
        <v>882</v>
      </c>
      <c r="H245" s="535">
        <f>CCBASE!$I$12*B245/1000</f>
        <v>119.65053730000001</v>
      </c>
      <c r="I245" s="535"/>
      <c r="J245" s="535"/>
      <c r="K245" s="535"/>
      <c r="L245" s="535">
        <f>CCBASE!$I$13*B245/1000</f>
        <v>239.537655</v>
      </c>
      <c r="M245" s="535"/>
      <c r="N245" s="535">
        <f>CCBASE!$I$7*B245/1000</f>
        <v>31.542280000000002</v>
      </c>
      <c r="O245" s="535">
        <f>CCBASE!$I$45*B245/1000</f>
        <v>9.9700000000000006</v>
      </c>
      <c r="P245" s="535"/>
      <c r="Q245" s="535">
        <f>CCBASE!$H$51</f>
        <v>5.16</v>
      </c>
      <c r="R245" s="535">
        <f>CCBASE!$I$4</f>
        <v>8.3986041999999994</v>
      </c>
      <c r="S245" s="535">
        <f>CCBASE!$I$8</f>
        <v>16.25526</v>
      </c>
      <c r="T245" s="535">
        <f>CCBASE!$I$44</f>
        <v>94.69</v>
      </c>
      <c r="U245" s="535">
        <f>CCBASE!$I$47</f>
        <v>14.41</v>
      </c>
      <c r="V245" s="535">
        <f>CCBASE!$I$46/2</f>
        <v>1.22</v>
      </c>
      <c r="W245" s="535">
        <f>CCBASE!$I$41*B245/1000</f>
        <v>59.051569999999998</v>
      </c>
      <c r="X245" s="535"/>
      <c r="Y245" s="535"/>
      <c r="Z245" s="535"/>
      <c r="AA245" s="535"/>
      <c r="AB245" s="535"/>
      <c r="AC245" s="535"/>
      <c r="AD245" s="535">
        <f>CCBASE!$I$37*2</f>
        <v>240.12910599999998</v>
      </c>
    </row>
    <row r="246" spans="1:30" x14ac:dyDescent="0.2">
      <c r="A246" s="533" t="s">
        <v>1053</v>
      </c>
      <c r="B246" s="533">
        <v>1250</v>
      </c>
      <c r="C246" s="533">
        <v>1500</v>
      </c>
      <c r="D246" s="533" t="str">
        <f t="shared" ref="D246:D309" si="10">A246&amp;B246&amp;C246</f>
        <v>KVF12501500</v>
      </c>
      <c r="E246" s="907">
        <f t="shared" si="9"/>
        <v>1851.363023075</v>
      </c>
      <c r="F246" s="534">
        <v>24.5</v>
      </c>
      <c r="G246" s="535">
        <f>F246*CCBASE!$B$51</f>
        <v>882</v>
      </c>
      <c r="H246" s="535">
        <f>CCBASE!$I$12*B246/1000</f>
        <v>149.56317162500002</v>
      </c>
      <c r="I246" s="535"/>
      <c r="J246" s="535"/>
      <c r="K246" s="535"/>
      <c r="L246" s="535">
        <f>CCBASE!$I$13*B246/1000</f>
        <v>299.42206874999999</v>
      </c>
      <c r="M246" s="535"/>
      <c r="N246" s="535">
        <f>CCBASE!$I$7*B246/1000</f>
        <v>39.427849999999999</v>
      </c>
      <c r="O246" s="535">
        <f>CCBASE!$I$45*B246/1000</f>
        <v>12.4625</v>
      </c>
      <c r="P246" s="535"/>
      <c r="Q246" s="535">
        <f>CCBASE!$H$51</f>
        <v>5.16</v>
      </c>
      <c r="R246" s="535">
        <f>CCBASE!$I$4</f>
        <v>8.3986041999999994</v>
      </c>
      <c r="S246" s="535">
        <f>CCBASE!$I$8</f>
        <v>16.25526</v>
      </c>
      <c r="T246" s="535">
        <f>CCBASE!$I$44</f>
        <v>94.69</v>
      </c>
      <c r="U246" s="535">
        <f>CCBASE!$I$47*2</f>
        <v>28.82</v>
      </c>
      <c r="V246" s="535">
        <f>CCBASE!$I$46/2</f>
        <v>1.22</v>
      </c>
      <c r="W246" s="535">
        <f>CCBASE!$I$41*B246/1000</f>
        <v>73.814462499999991</v>
      </c>
      <c r="X246" s="535"/>
      <c r="Y246" s="535"/>
      <c r="Z246" s="535"/>
      <c r="AA246" s="535"/>
      <c r="AB246" s="535"/>
      <c r="AC246" s="535"/>
      <c r="AD246" s="535">
        <f>CCBASE!$I$37*2</f>
        <v>240.12910599999998</v>
      </c>
    </row>
    <row r="247" spans="1:30" x14ac:dyDescent="0.2">
      <c r="A247" s="533" t="s">
        <v>1053</v>
      </c>
      <c r="B247" s="533">
        <v>1500</v>
      </c>
      <c r="C247" s="533">
        <v>1500</v>
      </c>
      <c r="D247" s="533" t="str">
        <f t="shared" si="10"/>
        <v>KVF15001500</v>
      </c>
      <c r="E247" s="907">
        <f t="shared" si="9"/>
        <v>1966.3010336499997</v>
      </c>
      <c r="F247" s="534">
        <v>24.5</v>
      </c>
      <c r="G247" s="535">
        <f>F247*CCBASE!$B$51</f>
        <v>882</v>
      </c>
      <c r="H247" s="535">
        <f>CCBASE!$I$12*B247/1000</f>
        <v>179.47580595000002</v>
      </c>
      <c r="I247" s="535"/>
      <c r="J247" s="535"/>
      <c r="K247" s="535"/>
      <c r="L247" s="535">
        <f>CCBASE!$I$13*B247/1000</f>
        <v>359.30648249999996</v>
      </c>
      <c r="M247" s="535"/>
      <c r="N247" s="535">
        <f>CCBASE!$I$7*B247/1000</f>
        <v>47.313420000000008</v>
      </c>
      <c r="O247" s="535">
        <f>CCBASE!$I$45*B247/1000</f>
        <v>14.955000000000002</v>
      </c>
      <c r="P247" s="535"/>
      <c r="Q247" s="535">
        <f>CCBASE!$H$51</f>
        <v>5.16</v>
      </c>
      <c r="R247" s="535">
        <f>CCBASE!$I$4</f>
        <v>8.3986041999999994</v>
      </c>
      <c r="S247" s="535">
        <f>CCBASE!$I$8</f>
        <v>16.25526</v>
      </c>
      <c r="T247" s="535">
        <f>CCBASE!$I$44</f>
        <v>94.69</v>
      </c>
      <c r="U247" s="535">
        <f>CCBASE!$I$47*2</f>
        <v>28.82</v>
      </c>
      <c r="V247" s="535">
        <f>CCBASE!$I$46/2</f>
        <v>1.22</v>
      </c>
      <c r="W247" s="535">
        <f>CCBASE!$I$41*B247/1000</f>
        <v>88.577354999999997</v>
      </c>
      <c r="X247" s="535"/>
      <c r="Y247" s="535"/>
      <c r="Z247" s="535"/>
      <c r="AA247" s="535"/>
      <c r="AB247" s="535"/>
      <c r="AC247" s="535"/>
      <c r="AD247" s="535">
        <f>CCBASE!$I$37*2</f>
        <v>240.12910599999998</v>
      </c>
    </row>
    <row r="248" spans="1:30" x14ac:dyDescent="0.2">
      <c r="A248" s="533" t="s">
        <v>1053</v>
      </c>
      <c r="B248" s="533">
        <v>1750</v>
      </c>
      <c r="C248" s="533">
        <v>1500</v>
      </c>
      <c r="D248" s="533" t="str">
        <f t="shared" si="10"/>
        <v>KVF17501500</v>
      </c>
      <c r="E248" s="907">
        <f t="shared" si="9"/>
        <v>2082.4590442250001</v>
      </c>
      <c r="F248" s="534">
        <v>24.5</v>
      </c>
      <c r="G248" s="535">
        <f>F248*CCBASE!$B$51</f>
        <v>882</v>
      </c>
      <c r="H248" s="535">
        <f>CCBASE!$I$12*B248/1000</f>
        <v>209.38844027500002</v>
      </c>
      <c r="I248" s="535"/>
      <c r="J248" s="535"/>
      <c r="K248" s="535"/>
      <c r="L248" s="535">
        <f>CCBASE!$I$13*B248/1000</f>
        <v>419.19089624999998</v>
      </c>
      <c r="M248" s="535"/>
      <c r="N248" s="535">
        <f>CCBASE!$I$7*B248/1000</f>
        <v>55.198990000000002</v>
      </c>
      <c r="O248" s="535">
        <f>CCBASE!$I$45*B248/1000</f>
        <v>17.447500000000002</v>
      </c>
      <c r="P248" s="535"/>
      <c r="Q248" s="535">
        <f>CCBASE!$H$51</f>
        <v>5.16</v>
      </c>
      <c r="R248" s="535">
        <f>CCBASE!$I$4</f>
        <v>8.3986041999999994</v>
      </c>
      <c r="S248" s="535">
        <f>CCBASE!$I$8</f>
        <v>16.25526</v>
      </c>
      <c r="T248" s="535">
        <f>CCBASE!$I$44</f>
        <v>94.69</v>
      </c>
      <c r="U248" s="535">
        <f>CCBASE!$I$47*2</f>
        <v>28.82</v>
      </c>
      <c r="V248" s="535">
        <f>CCBASE!$I$46</f>
        <v>2.44</v>
      </c>
      <c r="W248" s="535">
        <f>CCBASE!$I$41*B248/1000</f>
        <v>103.3402475</v>
      </c>
      <c r="X248" s="535"/>
      <c r="Y248" s="535"/>
      <c r="Z248" s="535"/>
      <c r="AA248" s="535"/>
      <c r="AB248" s="535"/>
      <c r="AC248" s="535"/>
      <c r="AD248" s="535">
        <f>CCBASE!$I$37*2</f>
        <v>240.12910599999998</v>
      </c>
    </row>
    <row r="249" spans="1:30" x14ac:dyDescent="0.2">
      <c r="A249" s="533" t="s">
        <v>1053</v>
      </c>
      <c r="B249" s="533">
        <v>2000</v>
      </c>
      <c r="C249" s="533">
        <v>1500</v>
      </c>
      <c r="D249" s="533" t="str">
        <f t="shared" si="10"/>
        <v>KVF20001500</v>
      </c>
      <c r="E249" s="907">
        <f t="shared" si="9"/>
        <v>2197.3970547999998</v>
      </c>
      <c r="F249" s="534">
        <v>24.5</v>
      </c>
      <c r="G249" s="535">
        <f>F249*CCBASE!$B$51</f>
        <v>882</v>
      </c>
      <c r="H249" s="535">
        <f>CCBASE!$I$12*B249/1000</f>
        <v>239.30107460000002</v>
      </c>
      <c r="I249" s="535"/>
      <c r="J249" s="535"/>
      <c r="K249" s="535"/>
      <c r="L249" s="535">
        <f>CCBASE!$I$13*B249/1000</f>
        <v>479.07531</v>
      </c>
      <c r="M249" s="535"/>
      <c r="N249" s="535">
        <f>CCBASE!$I$7*B249/1000</f>
        <v>63.084560000000003</v>
      </c>
      <c r="O249" s="535">
        <f>CCBASE!$I$45*B249/1000</f>
        <v>19.940000000000001</v>
      </c>
      <c r="P249" s="535"/>
      <c r="Q249" s="535">
        <f>CCBASE!$H$51</f>
        <v>5.16</v>
      </c>
      <c r="R249" s="535">
        <f>CCBASE!$I$4</f>
        <v>8.3986041999999994</v>
      </c>
      <c r="S249" s="535">
        <f>CCBASE!$I$8</f>
        <v>16.25526</v>
      </c>
      <c r="T249" s="535">
        <f>CCBASE!$I$44</f>
        <v>94.69</v>
      </c>
      <c r="U249" s="535">
        <f>CCBASE!$I$47*2</f>
        <v>28.82</v>
      </c>
      <c r="V249" s="535">
        <f>CCBASE!$I$46</f>
        <v>2.44</v>
      </c>
      <c r="W249" s="535">
        <f>CCBASE!$I$41*B249/1000</f>
        <v>118.10314</v>
      </c>
      <c r="X249" s="535"/>
      <c r="Y249" s="535"/>
      <c r="Z249" s="535"/>
      <c r="AA249" s="535"/>
      <c r="AB249" s="535"/>
      <c r="AC249" s="535"/>
      <c r="AD249" s="535">
        <f>CCBASE!$I$37*2</f>
        <v>240.12910599999998</v>
      </c>
    </row>
    <row r="250" spans="1:30" x14ac:dyDescent="0.2">
      <c r="A250" s="533" t="s">
        <v>1053</v>
      </c>
      <c r="B250" s="533">
        <v>2250</v>
      </c>
      <c r="C250" s="533">
        <v>1500</v>
      </c>
      <c r="D250" s="533" t="str">
        <f t="shared" si="10"/>
        <v>KVF22501500</v>
      </c>
      <c r="E250" s="907">
        <f t="shared" si="9"/>
        <v>2348.3350653749994</v>
      </c>
      <c r="F250" s="534">
        <v>25.5</v>
      </c>
      <c r="G250" s="535">
        <f>F250*CCBASE!$B$51</f>
        <v>918</v>
      </c>
      <c r="H250" s="535">
        <f>CCBASE!$I$12*B250/1000</f>
        <v>269.21370892500005</v>
      </c>
      <c r="I250" s="535"/>
      <c r="J250" s="535"/>
      <c r="K250" s="535"/>
      <c r="L250" s="535">
        <f>CCBASE!$I$13*B250/1000</f>
        <v>538.95972374999997</v>
      </c>
      <c r="M250" s="535"/>
      <c r="N250" s="535">
        <f>CCBASE!$I$7*B250/1000</f>
        <v>70.970130000000012</v>
      </c>
      <c r="O250" s="535">
        <f>CCBASE!$I$45*B250/1000</f>
        <v>22.432500000000001</v>
      </c>
      <c r="P250" s="535"/>
      <c r="Q250" s="535">
        <f>CCBASE!$H$51</f>
        <v>5.16</v>
      </c>
      <c r="R250" s="535">
        <f>CCBASE!$I$4</f>
        <v>8.3986041999999994</v>
      </c>
      <c r="S250" s="535">
        <f>CCBASE!$I$8</f>
        <v>16.25526</v>
      </c>
      <c r="T250" s="535">
        <f>CCBASE!$I$44</f>
        <v>94.69</v>
      </c>
      <c r="U250" s="535">
        <f>CCBASE!$I$47*2</f>
        <v>28.82</v>
      </c>
      <c r="V250" s="535">
        <f>CCBASE!$I$46</f>
        <v>2.44</v>
      </c>
      <c r="W250" s="535">
        <f>CCBASE!$I$41*B250/1000</f>
        <v>132.86603249999999</v>
      </c>
      <c r="X250" s="535"/>
      <c r="Y250" s="535"/>
      <c r="Z250" s="535"/>
      <c r="AA250" s="535"/>
      <c r="AB250" s="535"/>
      <c r="AC250" s="535"/>
      <c r="AD250" s="535">
        <f>CCBASE!$I$37*2</f>
        <v>240.12910599999998</v>
      </c>
    </row>
    <row r="251" spans="1:30" x14ac:dyDescent="0.2">
      <c r="A251" s="533" t="s">
        <v>1053</v>
      </c>
      <c r="B251" s="533">
        <v>2500</v>
      </c>
      <c r="C251" s="533">
        <v>1500</v>
      </c>
      <c r="D251" s="533" t="str">
        <f t="shared" si="10"/>
        <v>KVF25001500</v>
      </c>
      <c r="E251" s="907">
        <f t="shared" si="9"/>
        <v>2463.27307595</v>
      </c>
      <c r="F251" s="534">
        <v>25.5</v>
      </c>
      <c r="G251" s="535">
        <f>F251*CCBASE!$B$51</f>
        <v>918</v>
      </c>
      <c r="H251" s="535">
        <f>CCBASE!$I$12*B251/1000</f>
        <v>299.12634325000005</v>
      </c>
      <c r="I251" s="535"/>
      <c r="J251" s="535"/>
      <c r="K251" s="535"/>
      <c r="L251" s="535">
        <f>CCBASE!$I$13*B251/1000</f>
        <v>598.84413749999999</v>
      </c>
      <c r="M251" s="535"/>
      <c r="N251" s="535">
        <f>CCBASE!$I$7*B251/1000</f>
        <v>78.855699999999999</v>
      </c>
      <c r="O251" s="535">
        <f>CCBASE!$I$45*B251/1000</f>
        <v>24.925000000000001</v>
      </c>
      <c r="P251" s="535"/>
      <c r="Q251" s="535">
        <f>CCBASE!$H$51</f>
        <v>5.16</v>
      </c>
      <c r="R251" s="535">
        <f>CCBASE!$I$4</f>
        <v>8.3986041999999994</v>
      </c>
      <c r="S251" s="535">
        <f>CCBASE!$I$8</f>
        <v>16.25526</v>
      </c>
      <c r="T251" s="535">
        <f>CCBASE!$I$44</f>
        <v>94.69</v>
      </c>
      <c r="U251" s="535">
        <f>CCBASE!$I$47*2</f>
        <v>28.82</v>
      </c>
      <c r="V251" s="535">
        <f>CCBASE!$I$46</f>
        <v>2.44</v>
      </c>
      <c r="W251" s="535">
        <f>CCBASE!$I$41*B251/1000</f>
        <v>147.62892499999998</v>
      </c>
      <c r="X251" s="535"/>
      <c r="Y251" s="535"/>
      <c r="Z251" s="535"/>
      <c r="AA251" s="535"/>
      <c r="AB251" s="535"/>
      <c r="AC251" s="535"/>
      <c r="AD251" s="535">
        <f>CCBASE!$I$37*2</f>
        <v>240.12910599999998</v>
      </c>
    </row>
    <row r="252" spans="1:30" x14ac:dyDescent="0.2">
      <c r="A252" s="533" t="s">
        <v>1053</v>
      </c>
      <c r="B252" s="533">
        <v>2750</v>
      </c>
      <c r="C252" s="533">
        <v>1500</v>
      </c>
      <c r="D252" s="533" t="str">
        <f t="shared" si="10"/>
        <v>KVF27501500</v>
      </c>
      <c r="E252" s="907">
        <f t="shared" si="9"/>
        <v>2578.2110865250002</v>
      </c>
      <c r="F252" s="534">
        <v>25.5</v>
      </c>
      <c r="G252" s="535">
        <f>F252*CCBASE!$B$51</f>
        <v>918</v>
      </c>
      <c r="H252" s="535">
        <f>CCBASE!$I$12*B252/1000</f>
        <v>329.03897757500005</v>
      </c>
      <c r="I252" s="535"/>
      <c r="J252" s="535"/>
      <c r="K252" s="535"/>
      <c r="L252" s="535">
        <f>CCBASE!$I$13*B252/1000</f>
        <v>658.72855125000001</v>
      </c>
      <c r="M252" s="535"/>
      <c r="N252" s="535">
        <f>CCBASE!$I$7*B252/1000</f>
        <v>86.74127</v>
      </c>
      <c r="O252" s="535">
        <f>CCBASE!$I$45*B252/1000</f>
        <v>27.4175</v>
      </c>
      <c r="P252" s="535"/>
      <c r="Q252" s="535">
        <f>CCBASE!$H$51</f>
        <v>5.16</v>
      </c>
      <c r="R252" s="535">
        <f>CCBASE!$I$4</f>
        <v>8.3986041999999994</v>
      </c>
      <c r="S252" s="535">
        <f>CCBASE!$I$8</f>
        <v>16.25526</v>
      </c>
      <c r="T252" s="535">
        <f>CCBASE!$I$44</f>
        <v>94.69</v>
      </c>
      <c r="U252" s="535">
        <f>CCBASE!$I$47*2</f>
        <v>28.82</v>
      </c>
      <c r="V252" s="535">
        <f>CCBASE!$I$46</f>
        <v>2.44</v>
      </c>
      <c r="W252" s="535">
        <f>CCBASE!$I$41*B252/1000</f>
        <v>162.3918175</v>
      </c>
      <c r="X252" s="535"/>
      <c r="Y252" s="535"/>
      <c r="Z252" s="535"/>
      <c r="AA252" s="535"/>
      <c r="AB252" s="535"/>
      <c r="AC252" s="535"/>
      <c r="AD252" s="535">
        <f>CCBASE!$I$37*2</f>
        <v>240.12910599999998</v>
      </c>
    </row>
    <row r="253" spans="1:30" x14ac:dyDescent="0.2">
      <c r="A253" s="533" t="s">
        <v>1053</v>
      </c>
      <c r="B253" s="533">
        <v>3000</v>
      </c>
      <c r="C253" s="533">
        <v>1500</v>
      </c>
      <c r="D253" s="533" t="str">
        <f t="shared" si="10"/>
        <v>KVF30001500</v>
      </c>
      <c r="E253" s="907">
        <f t="shared" si="9"/>
        <v>2693.1490970999994</v>
      </c>
      <c r="F253" s="534">
        <v>25.5</v>
      </c>
      <c r="G253" s="535">
        <f>F253*CCBASE!$B$51</f>
        <v>918</v>
      </c>
      <c r="H253" s="535">
        <f>CCBASE!$I$12*B253/1000</f>
        <v>358.95161190000005</v>
      </c>
      <c r="I253" s="535"/>
      <c r="J253" s="535"/>
      <c r="K253" s="535"/>
      <c r="L253" s="535">
        <f>CCBASE!$I$13*B253/1000</f>
        <v>718.61296499999992</v>
      </c>
      <c r="M253" s="535"/>
      <c r="N253" s="535">
        <f>CCBASE!$I$7*B253/1000</f>
        <v>94.626840000000016</v>
      </c>
      <c r="O253" s="535">
        <f>CCBASE!$I$45*B253/1000</f>
        <v>29.910000000000004</v>
      </c>
      <c r="P253" s="535"/>
      <c r="Q253" s="535">
        <f>CCBASE!$H$51</f>
        <v>5.16</v>
      </c>
      <c r="R253" s="535">
        <f>CCBASE!$I$4</f>
        <v>8.3986041999999994</v>
      </c>
      <c r="S253" s="535">
        <f>CCBASE!$I$8</f>
        <v>16.25526</v>
      </c>
      <c r="T253" s="535">
        <f>CCBASE!$I$44</f>
        <v>94.69</v>
      </c>
      <c r="U253" s="535">
        <f>CCBASE!$I$47*2</f>
        <v>28.82</v>
      </c>
      <c r="V253" s="535">
        <f>CCBASE!$I$46</f>
        <v>2.44</v>
      </c>
      <c r="W253" s="535">
        <f>CCBASE!$I$41*B253/1000</f>
        <v>177.15470999999999</v>
      </c>
      <c r="X253" s="535"/>
      <c r="Y253" s="535"/>
      <c r="Z253" s="535"/>
      <c r="AA253" s="535"/>
      <c r="AB253" s="535"/>
      <c r="AC253" s="535"/>
      <c r="AD253" s="535">
        <f>CCBASE!$I$37*2</f>
        <v>240.12910599999998</v>
      </c>
    </row>
    <row r="254" spans="1:30" x14ac:dyDescent="0.2">
      <c r="A254" s="533" t="s">
        <v>1053</v>
      </c>
      <c r="B254" s="533">
        <v>1000</v>
      </c>
      <c r="C254" s="533">
        <v>1750</v>
      </c>
      <c r="D254" s="533" t="str">
        <f t="shared" si="10"/>
        <v>KVF10001750</v>
      </c>
      <c r="E254" s="907">
        <f t="shared" si="9"/>
        <v>1765.7823865</v>
      </c>
      <c r="F254" s="534">
        <v>24.5</v>
      </c>
      <c r="G254" s="535">
        <f>F254*CCBASE!$B$51</f>
        <v>882</v>
      </c>
      <c r="H254" s="535">
        <f>CCBASE!$I$12*B254/1000</f>
        <v>119.65053730000001</v>
      </c>
      <c r="I254" s="535"/>
      <c r="J254" s="535"/>
      <c r="K254" s="535"/>
      <c r="L254" s="535">
        <f>CCBASE!$I$13*B254/1000</f>
        <v>239.537655</v>
      </c>
      <c r="M254" s="535"/>
      <c r="N254" s="535">
        <f>CCBASE!$I$7*B254/1000</f>
        <v>31.542280000000002</v>
      </c>
      <c r="O254" s="535">
        <f>CCBASE!$I$45*B254/1000</f>
        <v>9.9700000000000006</v>
      </c>
      <c r="P254" s="535"/>
      <c r="Q254" s="535">
        <f>CCBASE!$H$51</f>
        <v>5.16</v>
      </c>
      <c r="R254" s="535">
        <f>CCBASE!$I$4</f>
        <v>8.3986041999999994</v>
      </c>
      <c r="S254" s="535">
        <f>CCBASE!$I$8</f>
        <v>16.25526</v>
      </c>
      <c r="T254" s="535">
        <f>CCBASE!$I$44</f>
        <v>94.69</v>
      </c>
      <c r="U254" s="535">
        <f>CCBASE!$I$47</f>
        <v>14.41</v>
      </c>
      <c r="V254" s="535">
        <f>CCBASE!$I$46/2</f>
        <v>1.22</v>
      </c>
      <c r="W254" s="535">
        <f>CCBASE!$I$42*B254/1000</f>
        <v>70.880589999999998</v>
      </c>
      <c r="X254" s="535"/>
      <c r="Y254" s="535"/>
      <c r="Z254" s="535"/>
      <c r="AA254" s="535"/>
      <c r="AB254" s="535"/>
      <c r="AC254" s="535"/>
      <c r="AD254" s="535">
        <f>CCBASE!$I$38*2</f>
        <v>272.06745999999998</v>
      </c>
    </row>
    <row r="255" spans="1:30" x14ac:dyDescent="0.2">
      <c r="A255" s="533" t="s">
        <v>1053</v>
      </c>
      <c r="B255" s="533">
        <v>1250</v>
      </c>
      <c r="C255" s="533">
        <v>1750</v>
      </c>
      <c r="D255" s="533" t="str">
        <f t="shared" si="10"/>
        <v>KVF12501750</v>
      </c>
      <c r="E255" s="907">
        <f t="shared" si="9"/>
        <v>1898.0876520750001</v>
      </c>
      <c r="F255" s="534">
        <v>24.5</v>
      </c>
      <c r="G255" s="535">
        <f>F255*CCBASE!$B$51</f>
        <v>882</v>
      </c>
      <c r="H255" s="535">
        <f>CCBASE!$I$12*B255/1000</f>
        <v>149.56317162500002</v>
      </c>
      <c r="I255" s="535"/>
      <c r="J255" s="535"/>
      <c r="K255" s="535"/>
      <c r="L255" s="535">
        <f>CCBASE!$I$13*B255/1000</f>
        <v>299.42206874999999</v>
      </c>
      <c r="M255" s="535"/>
      <c r="N255" s="535">
        <f>CCBASE!$I$7*B255/1000</f>
        <v>39.427849999999999</v>
      </c>
      <c r="O255" s="535">
        <f>CCBASE!$I$45*B255/1000</f>
        <v>12.4625</v>
      </c>
      <c r="P255" s="535"/>
      <c r="Q255" s="535">
        <f>CCBASE!$H$51</f>
        <v>5.16</v>
      </c>
      <c r="R255" s="535">
        <f>CCBASE!$I$4</f>
        <v>8.3986041999999994</v>
      </c>
      <c r="S255" s="535">
        <f>CCBASE!$I$8</f>
        <v>16.25526</v>
      </c>
      <c r="T255" s="535">
        <f>CCBASE!$I$44</f>
        <v>94.69</v>
      </c>
      <c r="U255" s="535">
        <f>CCBASE!$I$47*2</f>
        <v>28.82</v>
      </c>
      <c r="V255" s="535">
        <f>CCBASE!$I$46/2</f>
        <v>1.22</v>
      </c>
      <c r="W255" s="535">
        <f>CCBASE!$I$42*B255/1000</f>
        <v>88.600737500000008</v>
      </c>
      <c r="X255" s="535"/>
      <c r="Y255" s="535"/>
      <c r="Z255" s="535"/>
      <c r="AA255" s="535"/>
      <c r="AB255" s="535"/>
      <c r="AC255" s="535"/>
      <c r="AD255" s="535">
        <f>CCBASE!$I$38*2</f>
        <v>272.06745999999998</v>
      </c>
    </row>
    <row r="256" spans="1:30" x14ac:dyDescent="0.2">
      <c r="A256" s="533" t="s">
        <v>1053</v>
      </c>
      <c r="B256" s="533">
        <v>1500</v>
      </c>
      <c r="C256" s="533">
        <v>1750</v>
      </c>
      <c r="D256" s="533" t="str">
        <f t="shared" si="10"/>
        <v>KVF15001750</v>
      </c>
      <c r="E256" s="907">
        <f t="shared" si="9"/>
        <v>2015.9829176499998</v>
      </c>
      <c r="F256" s="534">
        <v>24.5</v>
      </c>
      <c r="G256" s="535">
        <f>F256*CCBASE!$B$51</f>
        <v>882</v>
      </c>
      <c r="H256" s="535">
        <f>CCBASE!$I$12*B256/1000</f>
        <v>179.47580595000002</v>
      </c>
      <c r="I256" s="535"/>
      <c r="J256" s="535"/>
      <c r="K256" s="535"/>
      <c r="L256" s="535">
        <f>CCBASE!$I$13*B256/1000</f>
        <v>359.30648249999996</v>
      </c>
      <c r="M256" s="535"/>
      <c r="N256" s="535">
        <f>CCBASE!$I$7*B256/1000</f>
        <v>47.313420000000008</v>
      </c>
      <c r="O256" s="535">
        <f>CCBASE!$I$45*B256/1000</f>
        <v>14.955000000000002</v>
      </c>
      <c r="P256" s="535"/>
      <c r="Q256" s="535">
        <f>CCBASE!$H$51</f>
        <v>5.16</v>
      </c>
      <c r="R256" s="535">
        <f>CCBASE!$I$4</f>
        <v>8.3986041999999994</v>
      </c>
      <c r="S256" s="535">
        <f>CCBASE!$I$8</f>
        <v>16.25526</v>
      </c>
      <c r="T256" s="535">
        <f>CCBASE!$I$44</f>
        <v>94.69</v>
      </c>
      <c r="U256" s="535">
        <f>CCBASE!$I$47*2</f>
        <v>28.82</v>
      </c>
      <c r="V256" s="535">
        <f>CCBASE!$I$46/2</f>
        <v>1.22</v>
      </c>
      <c r="W256" s="535">
        <f>CCBASE!$I$42*B256/1000</f>
        <v>106.32088499999999</v>
      </c>
      <c r="X256" s="535"/>
      <c r="Y256" s="535"/>
      <c r="Z256" s="535"/>
      <c r="AA256" s="535"/>
      <c r="AB256" s="535"/>
      <c r="AC256" s="535"/>
      <c r="AD256" s="535">
        <f>CCBASE!$I$38*2</f>
        <v>272.06745999999998</v>
      </c>
    </row>
    <row r="257" spans="1:30" x14ac:dyDescent="0.2">
      <c r="A257" s="533" t="s">
        <v>1053</v>
      </c>
      <c r="B257" s="533">
        <v>1750</v>
      </c>
      <c r="C257" s="533">
        <v>1750</v>
      </c>
      <c r="D257" s="533" t="str">
        <f t="shared" si="10"/>
        <v>KVF17501750</v>
      </c>
      <c r="E257" s="907">
        <f t="shared" si="9"/>
        <v>2135.098183225</v>
      </c>
      <c r="F257" s="534">
        <v>24.5</v>
      </c>
      <c r="G257" s="535">
        <f>F257*CCBASE!$B$51</f>
        <v>882</v>
      </c>
      <c r="H257" s="535">
        <f>CCBASE!$I$12*B257/1000</f>
        <v>209.38844027500002</v>
      </c>
      <c r="I257" s="535"/>
      <c r="J257" s="535"/>
      <c r="K257" s="535"/>
      <c r="L257" s="535">
        <f>CCBASE!$I$13*B257/1000</f>
        <v>419.19089624999998</v>
      </c>
      <c r="M257" s="535"/>
      <c r="N257" s="535">
        <f>CCBASE!$I$7*B257/1000</f>
        <v>55.198990000000002</v>
      </c>
      <c r="O257" s="535">
        <f>CCBASE!$I$45*B257/1000</f>
        <v>17.447500000000002</v>
      </c>
      <c r="P257" s="535"/>
      <c r="Q257" s="535">
        <f>CCBASE!$H$51</f>
        <v>5.16</v>
      </c>
      <c r="R257" s="535">
        <f>CCBASE!$I$4</f>
        <v>8.3986041999999994</v>
      </c>
      <c r="S257" s="535">
        <f>CCBASE!$I$8</f>
        <v>16.25526</v>
      </c>
      <c r="T257" s="535">
        <f>CCBASE!$I$44</f>
        <v>94.69</v>
      </c>
      <c r="U257" s="535">
        <f>CCBASE!$I$47*2</f>
        <v>28.82</v>
      </c>
      <c r="V257" s="535">
        <f>CCBASE!$I$46</f>
        <v>2.44</v>
      </c>
      <c r="W257" s="535">
        <f>CCBASE!$I$42*B257/1000</f>
        <v>124.0410325</v>
      </c>
      <c r="X257" s="535"/>
      <c r="Y257" s="535"/>
      <c r="Z257" s="535"/>
      <c r="AA257" s="535"/>
      <c r="AB257" s="535"/>
      <c r="AC257" s="535"/>
      <c r="AD257" s="535">
        <f>CCBASE!$I$38*2</f>
        <v>272.06745999999998</v>
      </c>
    </row>
    <row r="258" spans="1:30" x14ac:dyDescent="0.2">
      <c r="A258" s="533" t="s">
        <v>1053</v>
      </c>
      <c r="B258" s="533">
        <v>2000</v>
      </c>
      <c r="C258" s="533">
        <v>1750</v>
      </c>
      <c r="D258" s="533" t="str">
        <f t="shared" si="10"/>
        <v>KVF20001750</v>
      </c>
      <c r="E258" s="907">
        <f t="shared" ref="E258:E321" si="11">SUM(G258:AD258)</f>
        <v>2252.9934487999999</v>
      </c>
      <c r="F258" s="534">
        <v>24.5</v>
      </c>
      <c r="G258" s="535">
        <f>F258*CCBASE!$B$51</f>
        <v>882</v>
      </c>
      <c r="H258" s="535">
        <f>CCBASE!$I$12*B258/1000</f>
        <v>239.30107460000002</v>
      </c>
      <c r="I258" s="535"/>
      <c r="J258" s="535"/>
      <c r="K258" s="535"/>
      <c r="L258" s="535">
        <f>CCBASE!$I$13*B258/1000</f>
        <v>479.07531</v>
      </c>
      <c r="M258" s="535"/>
      <c r="N258" s="535">
        <f>CCBASE!$I$7*B258/1000</f>
        <v>63.084560000000003</v>
      </c>
      <c r="O258" s="535">
        <f>CCBASE!$I$45*B258/1000</f>
        <v>19.940000000000001</v>
      </c>
      <c r="P258" s="535"/>
      <c r="Q258" s="535">
        <f>CCBASE!$H$51</f>
        <v>5.16</v>
      </c>
      <c r="R258" s="535">
        <f>CCBASE!$I$4</f>
        <v>8.3986041999999994</v>
      </c>
      <c r="S258" s="535">
        <f>CCBASE!$I$8</f>
        <v>16.25526</v>
      </c>
      <c r="T258" s="535">
        <f>CCBASE!$I$44</f>
        <v>94.69</v>
      </c>
      <c r="U258" s="535">
        <f>CCBASE!$I$47*2</f>
        <v>28.82</v>
      </c>
      <c r="V258" s="535">
        <f>CCBASE!$I$46</f>
        <v>2.44</v>
      </c>
      <c r="W258" s="535">
        <f>CCBASE!$I$42*B258/1000</f>
        <v>141.76118</v>
      </c>
      <c r="X258" s="535"/>
      <c r="Y258" s="535"/>
      <c r="Z258" s="535"/>
      <c r="AA258" s="535"/>
      <c r="AB258" s="535"/>
      <c r="AC258" s="535"/>
      <c r="AD258" s="535">
        <f>CCBASE!$I$38*2</f>
        <v>272.06745999999998</v>
      </c>
    </row>
    <row r="259" spans="1:30" x14ac:dyDescent="0.2">
      <c r="A259" s="533" t="s">
        <v>1053</v>
      </c>
      <c r="B259" s="533">
        <v>2250</v>
      </c>
      <c r="C259" s="533">
        <v>1750</v>
      </c>
      <c r="D259" s="533" t="str">
        <f t="shared" si="10"/>
        <v>KVF22501750</v>
      </c>
      <c r="E259" s="907">
        <f t="shared" si="11"/>
        <v>2406.8887143749998</v>
      </c>
      <c r="F259" s="534">
        <v>25.5</v>
      </c>
      <c r="G259" s="535">
        <f>F259*CCBASE!$B$51</f>
        <v>918</v>
      </c>
      <c r="H259" s="535">
        <f>CCBASE!$I$12*B259/1000</f>
        <v>269.21370892500005</v>
      </c>
      <c r="I259" s="535"/>
      <c r="J259" s="535"/>
      <c r="K259" s="535"/>
      <c r="L259" s="535">
        <f>CCBASE!$I$13*B259/1000</f>
        <v>538.95972374999997</v>
      </c>
      <c r="M259" s="535"/>
      <c r="N259" s="535">
        <f>CCBASE!$I$7*B259/1000</f>
        <v>70.970130000000012</v>
      </c>
      <c r="O259" s="535">
        <f>CCBASE!$I$45*B259/1000</f>
        <v>22.432500000000001</v>
      </c>
      <c r="P259" s="535"/>
      <c r="Q259" s="535">
        <f>CCBASE!$H$51</f>
        <v>5.16</v>
      </c>
      <c r="R259" s="535">
        <f>CCBASE!$I$4</f>
        <v>8.3986041999999994</v>
      </c>
      <c r="S259" s="535">
        <f>CCBASE!$I$8</f>
        <v>16.25526</v>
      </c>
      <c r="T259" s="535">
        <f>CCBASE!$I$44</f>
        <v>94.69</v>
      </c>
      <c r="U259" s="535">
        <f>CCBASE!$I$47*2</f>
        <v>28.82</v>
      </c>
      <c r="V259" s="535">
        <f>CCBASE!$I$46</f>
        <v>2.44</v>
      </c>
      <c r="W259" s="535">
        <f>CCBASE!$I$42*B259/1000</f>
        <v>159.48132749999999</v>
      </c>
      <c r="X259" s="535"/>
      <c r="Y259" s="535"/>
      <c r="Z259" s="535"/>
      <c r="AA259" s="535"/>
      <c r="AB259" s="535"/>
      <c r="AC259" s="535"/>
      <c r="AD259" s="535">
        <f>CCBASE!$I$38*2</f>
        <v>272.06745999999998</v>
      </c>
    </row>
    <row r="260" spans="1:30" x14ac:dyDescent="0.2">
      <c r="A260" s="533" t="s">
        <v>1053</v>
      </c>
      <c r="B260" s="533">
        <v>2500</v>
      </c>
      <c r="C260" s="533">
        <v>1750</v>
      </c>
      <c r="D260" s="533" t="str">
        <f t="shared" si="10"/>
        <v>KVF25001750</v>
      </c>
      <c r="E260" s="907">
        <f t="shared" si="11"/>
        <v>2524.7839799499998</v>
      </c>
      <c r="F260" s="534">
        <v>25.5</v>
      </c>
      <c r="G260" s="535">
        <f>F260*CCBASE!$B$51</f>
        <v>918</v>
      </c>
      <c r="H260" s="535">
        <f>CCBASE!$I$12*B260/1000</f>
        <v>299.12634325000005</v>
      </c>
      <c r="I260" s="535"/>
      <c r="J260" s="535"/>
      <c r="K260" s="535"/>
      <c r="L260" s="535">
        <f>CCBASE!$I$13*B260/1000</f>
        <v>598.84413749999999</v>
      </c>
      <c r="M260" s="535"/>
      <c r="N260" s="535">
        <f>CCBASE!$I$7*B260/1000</f>
        <v>78.855699999999999</v>
      </c>
      <c r="O260" s="535">
        <f>CCBASE!$I$45*B260/1000</f>
        <v>24.925000000000001</v>
      </c>
      <c r="P260" s="535"/>
      <c r="Q260" s="535">
        <f>CCBASE!$H$51</f>
        <v>5.16</v>
      </c>
      <c r="R260" s="535">
        <f>CCBASE!$I$4</f>
        <v>8.3986041999999994</v>
      </c>
      <c r="S260" s="535">
        <f>CCBASE!$I$8</f>
        <v>16.25526</v>
      </c>
      <c r="T260" s="535">
        <f>CCBASE!$I$44</f>
        <v>94.69</v>
      </c>
      <c r="U260" s="535">
        <f>CCBASE!$I$47*2</f>
        <v>28.82</v>
      </c>
      <c r="V260" s="535">
        <f>CCBASE!$I$46</f>
        <v>2.44</v>
      </c>
      <c r="W260" s="535">
        <f>CCBASE!$I$42*B260/1000</f>
        <v>177.20147500000002</v>
      </c>
      <c r="X260" s="535"/>
      <c r="Y260" s="535"/>
      <c r="Z260" s="535"/>
      <c r="AA260" s="535"/>
      <c r="AB260" s="535"/>
      <c r="AC260" s="535"/>
      <c r="AD260" s="535">
        <f>CCBASE!$I$38*2</f>
        <v>272.06745999999998</v>
      </c>
    </row>
    <row r="261" spans="1:30" x14ac:dyDescent="0.2">
      <c r="A261" s="533" t="s">
        <v>1053</v>
      </c>
      <c r="B261" s="533">
        <v>2750</v>
      </c>
      <c r="C261" s="533">
        <v>1750</v>
      </c>
      <c r="D261" s="533" t="str">
        <f t="shared" si="10"/>
        <v>KVF27501750</v>
      </c>
      <c r="E261" s="907">
        <f t="shared" si="11"/>
        <v>2642.6792455250006</v>
      </c>
      <c r="F261" s="534">
        <v>25.5</v>
      </c>
      <c r="G261" s="535">
        <f>F261*CCBASE!$B$51</f>
        <v>918</v>
      </c>
      <c r="H261" s="535">
        <f>CCBASE!$I$12*B261/1000</f>
        <v>329.03897757500005</v>
      </c>
      <c r="I261" s="535"/>
      <c r="J261" s="535"/>
      <c r="K261" s="535"/>
      <c r="L261" s="535">
        <f>CCBASE!$I$13*B261/1000</f>
        <v>658.72855125000001</v>
      </c>
      <c r="M261" s="535"/>
      <c r="N261" s="535">
        <f>CCBASE!$I$7*B261/1000</f>
        <v>86.74127</v>
      </c>
      <c r="O261" s="535">
        <f>CCBASE!$I$45*B261/1000</f>
        <v>27.4175</v>
      </c>
      <c r="P261" s="535"/>
      <c r="Q261" s="535">
        <f>CCBASE!$H$51</f>
        <v>5.16</v>
      </c>
      <c r="R261" s="535">
        <f>CCBASE!$I$4</f>
        <v>8.3986041999999994</v>
      </c>
      <c r="S261" s="535">
        <f>CCBASE!$I$8</f>
        <v>16.25526</v>
      </c>
      <c r="T261" s="535">
        <f>CCBASE!$I$44</f>
        <v>94.69</v>
      </c>
      <c r="U261" s="535">
        <f>CCBASE!$I$47*2</f>
        <v>28.82</v>
      </c>
      <c r="V261" s="535">
        <f>CCBASE!$I$46</f>
        <v>2.44</v>
      </c>
      <c r="W261" s="535">
        <f>CCBASE!$I$42*B261/1000</f>
        <v>194.92162249999998</v>
      </c>
      <c r="X261" s="535"/>
      <c r="Y261" s="535"/>
      <c r="Z261" s="535"/>
      <c r="AA261" s="535"/>
      <c r="AB261" s="535"/>
      <c r="AC261" s="535"/>
      <c r="AD261" s="535">
        <f>CCBASE!$I$38*2</f>
        <v>272.06745999999998</v>
      </c>
    </row>
    <row r="262" spans="1:30" x14ac:dyDescent="0.2">
      <c r="A262" s="533" t="s">
        <v>1053</v>
      </c>
      <c r="B262" s="533">
        <v>3000</v>
      </c>
      <c r="C262" s="533">
        <v>1750</v>
      </c>
      <c r="D262" s="533" t="str">
        <f t="shared" si="10"/>
        <v>KVF30001750</v>
      </c>
      <c r="E262" s="907">
        <f t="shared" si="11"/>
        <v>2760.5745110999997</v>
      </c>
      <c r="F262" s="534">
        <v>25.5</v>
      </c>
      <c r="G262" s="535">
        <f>F262*CCBASE!$B$51</f>
        <v>918</v>
      </c>
      <c r="H262" s="535">
        <f>CCBASE!$I$12*B262/1000</f>
        <v>358.95161190000005</v>
      </c>
      <c r="I262" s="535"/>
      <c r="J262" s="535"/>
      <c r="K262" s="535"/>
      <c r="L262" s="535">
        <f>CCBASE!$I$13*B262/1000</f>
        <v>718.61296499999992</v>
      </c>
      <c r="M262" s="535"/>
      <c r="N262" s="535">
        <f>CCBASE!$I$7*B262/1000</f>
        <v>94.626840000000016</v>
      </c>
      <c r="O262" s="535">
        <f>CCBASE!$I$45*B262/1000</f>
        <v>29.910000000000004</v>
      </c>
      <c r="P262" s="535"/>
      <c r="Q262" s="535">
        <f>CCBASE!$H$51</f>
        <v>5.16</v>
      </c>
      <c r="R262" s="535">
        <f>CCBASE!$I$4</f>
        <v>8.3986041999999994</v>
      </c>
      <c r="S262" s="535">
        <f>CCBASE!$I$8</f>
        <v>16.25526</v>
      </c>
      <c r="T262" s="535">
        <f>CCBASE!$I$44</f>
        <v>94.69</v>
      </c>
      <c r="U262" s="535">
        <f>CCBASE!$I$47*2</f>
        <v>28.82</v>
      </c>
      <c r="V262" s="535">
        <f>CCBASE!$I$46</f>
        <v>2.44</v>
      </c>
      <c r="W262" s="535">
        <f>CCBASE!$I$42*B262/1000</f>
        <v>212.64176999999998</v>
      </c>
      <c r="X262" s="535"/>
      <c r="Y262" s="535"/>
      <c r="Z262" s="535"/>
      <c r="AA262" s="535"/>
      <c r="AB262" s="535"/>
      <c r="AC262" s="535"/>
      <c r="AD262" s="535">
        <f>CCBASE!$I$38*2</f>
        <v>272.06745999999998</v>
      </c>
    </row>
    <row r="263" spans="1:30" x14ac:dyDescent="0.2">
      <c r="A263" s="533" t="s">
        <v>1053</v>
      </c>
      <c r="B263" s="533">
        <v>1000</v>
      </c>
      <c r="C263" s="533">
        <v>2000</v>
      </c>
      <c r="D263" s="533" t="str">
        <f t="shared" si="10"/>
        <v>KVF10002000</v>
      </c>
      <c r="E263" s="907">
        <f t="shared" si="11"/>
        <v>1822.5616825</v>
      </c>
      <c r="F263" s="534">
        <v>24.5</v>
      </c>
      <c r="G263" s="535">
        <f>F263*CCBASE!$B$51</f>
        <v>882</v>
      </c>
      <c r="H263" s="535">
        <f>CCBASE!$I$12*B263/1000</f>
        <v>119.65053730000001</v>
      </c>
      <c r="I263" s="535"/>
      <c r="J263" s="535"/>
      <c r="K263" s="535"/>
      <c r="L263" s="535">
        <f>CCBASE!$I$13*B263/1000</f>
        <v>239.537655</v>
      </c>
      <c r="M263" s="535"/>
      <c r="N263" s="535">
        <f>CCBASE!$I$7*B263/1000</f>
        <v>31.542280000000002</v>
      </c>
      <c r="O263" s="535">
        <f>CCBASE!$I$45*B263/1000</f>
        <v>9.9700000000000006</v>
      </c>
      <c r="P263" s="535"/>
      <c r="Q263" s="535">
        <f>CCBASE!$H$51</f>
        <v>5.16</v>
      </c>
      <c r="R263" s="535">
        <f>CCBASE!$I$4</f>
        <v>8.3986041999999994</v>
      </c>
      <c r="S263" s="535">
        <f>CCBASE!$I$8</f>
        <v>16.25526</v>
      </c>
      <c r="T263" s="535">
        <f>CCBASE!$I$44</f>
        <v>94.69</v>
      </c>
      <c r="U263" s="535">
        <f>CCBASE!$I$47</f>
        <v>14.41</v>
      </c>
      <c r="V263" s="535">
        <f>CCBASE!$I$46/2</f>
        <v>1.22</v>
      </c>
      <c r="W263" s="535">
        <f>CCBASE!$I$43*B263/1000</f>
        <v>88.624119999999991</v>
      </c>
      <c r="X263" s="535"/>
      <c r="Y263" s="535"/>
      <c r="Z263" s="535"/>
      <c r="AA263" s="535"/>
      <c r="AB263" s="535"/>
      <c r="AC263" s="535"/>
      <c r="AD263" s="535">
        <f>CCBASE!$I$39*2</f>
        <v>311.10322599999995</v>
      </c>
    </row>
    <row r="264" spans="1:30" x14ac:dyDescent="0.2">
      <c r="A264" s="533" t="s">
        <v>1053</v>
      </c>
      <c r="B264" s="533">
        <v>1250</v>
      </c>
      <c r="C264" s="533">
        <v>2000</v>
      </c>
      <c r="D264" s="533" t="str">
        <f t="shared" si="10"/>
        <v>KVF12502000</v>
      </c>
      <c r="E264" s="907">
        <f t="shared" si="11"/>
        <v>1959.3028305750001</v>
      </c>
      <c r="F264" s="534">
        <v>24.5</v>
      </c>
      <c r="G264" s="535">
        <f>F264*CCBASE!$B$51</f>
        <v>882</v>
      </c>
      <c r="H264" s="535">
        <f>CCBASE!$I$12*B264/1000</f>
        <v>149.56317162500002</v>
      </c>
      <c r="I264" s="535"/>
      <c r="J264" s="535"/>
      <c r="K264" s="535"/>
      <c r="L264" s="535">
        <f>CCBASE!$I$13*B264/1000</f>
        <v>299.42206874999999</v>
      </c>
      <c r="M264" s="535"/>
      <c r="N264" s="535">
        <f>CCBASE!$I$7*B264/1000</f>
        <v>39.427849999999999</v>
      </c>
      <c r="O264" s="535">
        <f>CCBASE!$I$45*B264/1000</f>
        <v>12.4625</v>
      </c>
      <c r="P264" s="535"/>
      <c r="Q264" s="535">
        <f>CCBASE!$H$51</f>
        <v>5.16</v>
      </c>
      <c r="R264" s="535">
        <f>CCBASE!$I$4</f>
        <v>8.3986041999999994</v>
      </c>
      <c r="S264" s="535">
        <f>CCBASE!$I$8</f>
        <v>16.25526</v>
      </c>
      <c r="T264" s="535">
        <f>CCBASE!$I$44</f>
        <v>94.69</v>
      </c>
      <c r="U264" s="535">
        <f>CCBASE!$I$47*2</f>
        <v>28.82</v>
      </c>
      <c r="V264" s="535">
        <f>CCBASE!$I$46/2</f>
        <v>1.22</v>
      </c>
      <c r="W264" s="535">
        <f>CCBASE!$I$43*B264/1000</f>
        <v>110.78014999999999</v>
      </c>
      <c r="X264" s="535"/>
      <c r="Y264" s="535"/>
      <c r="Z264" s="535"/>
      <c r="AA264" s="535"/>
      <c r="AB264" s="535"/>
      <c r="AC264" s="535"/>
      <c r="AD264" s="535">
        <f>CCBASE!$I$39*2</f>
        <v>311.10322599999995</v>
      </c>
    </row>
    <row r="265" spans="1:30" x14ac:dyDescent="0.2">
      <c r="A265" s="533" t="s">
        <v>1053</v>
      </c>
      <c r="B265" s="533">
        <v>1500</v>
      </c>
      <c r="C265" s="533">
        <v>2000</v>
      </c>
      <c r="D265" s="533" t="str">
        <f t="shared" si="10"/>
        <v>KVF15002000</v>
      </c>
      <c r="E265" s="907">
        <f t="shared" si="11"/>
        <v>2081.6339786499993</v>
      </c>
      <c r="F265" s="534">
        <v>24.5</v>
      </c>
      <c r="G265" s="535">
        <f>F265*CCBASE!$B$51</f>
        <v>882</v>
      </c>
      <c r="H265" s="535">
        <f>CCBASE!$I$12*B265/1000</f>
        <v>179.47580595000002</v>
      </c>
      <c r="I265" s="535"/>
      <c r="J265" s="535"/>
      <c r="K265" s="535"/>
      <c r="L265" s="535">
        <f>CCBASE!$I$13*B265/1000</f>
        <v>359.30648249999996</v>
      </c>
      <c r="M265" s="535"/>
      <c r="N265" s="535">
        <f>CCBASE!$I$7*B265/1000</f>
        <v>47.313420000000008</v>
      </c>
      <c r="O265" s="535">
        <f>CCBASE!$I$45*B265/1000</f>
        <v>14.955000000000002</v>
      </c>
      <c r="P265" s="535"/>
      <c r="Q265" s="535">
        <f>CCBASE!$H$51</f>
        <v>5.16</v>
      </c>
      <c r="R265" s="535">
        <f>CCBASE!$I$4</f>
        <v>8.3986041999999994</v>
      </c>
      <c r="S265" s="535">
        <f>CCBASE!$I$8</f>
        <v>16.25526</v>
      </c>
      <c r="T265" s="535">
        <f>CCBASE!$I$44</f>
        <v>94.69</v>
      </c>
      <c r="U265" s="535">
        <f>CCBASE!$I$47*2</f>
        <v>28.82</v>
      </c>
      <c r="V265" s="535">
        <f>CCBASE!$I$46/2</f>
        <v>1.22</v>
      </c>
      <c r="W265" s="535">
        <f>CCBASE!$I$43*B265/1000</f>
        <v>132.93617999999998</v>
      </c>
      <c r="X265" s="535"/>
      <c r="Y265" s="535"/>
      <c r="Z265" s="535"/>
      <c r="AA265" s="535"/>
      <c r="AB265" s="535"/>
      <c r="AC265" s="535"/>
      <c r="AD265" s="535">
        <f>CCBASE!$I$39*2</f>
        <v>311.10322599999995</v>
      </c>
    </row>
    <row r="266" spans="1:30" x14ac:dyDescent="0.2">
      <c r="A266" s="533" t="s">
        <v>1053</v>
      </c>
      <c r="B266" s="533">
        <v>1750</v>
      </c>
      <c r="C266" s="533">
        <v>2000</v>
      </c>
      <c r="D266" s="533" t="str">
        <f t="shared" si="10"/>
        <v>KVF17502000</v>
      </c>
      <c r="E266" s="907">
        <f t="shared" si="11"/>
        <v>2205.1851267249999</v>
      </c>
      <c r="F266" s="534">
        <v>24.5</v>
      </c>
      <c r="G266" s="535">
        <f>F266*CCBASE!$B$51</f>
        <v>882</v>
      </c>
      <c r="H266" s="535">
        <f>CCBASE!$I$12*B266/1000</f>
        <v>209.38844027500002</v>
      </c>
      <c r="I266" s="535"/>
      <c r="J266" s="535"/>
      <c r="K266" s="535"/>
      <c r="L266" s="535">
        <f>CCBASE!$I$13*B266/1000</f>
        <v>419.19089624999998</v>
      </c>
      <c r="M266" s="535"/>
      <c r="N266" s="535">
        <f>CCBASE!$I$7*B266/1000</f>
        <v>55.198990000000002</v>
      </c>
      <c r="O266" s="535">
        <f>CCBASE!$I$45*B266/1000</f>
        <v>17.447500000000002</v>
      </c>
      <c r="P266" s="535"/>
      <c r="Q266" s="535">
        <f>CCBASE!$H$51</f>
        <v>5.16</v>
      </c>
      <c r="R266" s="535">
        <f>CCBASE!$I$4</f>
        <v>8.3986041999999994</v>
      </c>
      <c r="S266" s="535">
        <f>CCBASE!$I$8</f>
        <v>16.25526</v>
      </c>
      <c r="T266" s="535">
        <f>CCBASE!$I$44</f>
        <v>94.69</v>
      </c>
      <c r="U266" s="535">
        <f>CCBASE!$I$47*2</f>
        <v>28.82</v>
      </c>
      <c r="V266" s="535">
        <f>CCBASE!$I$46</f>
        <v>2.44</v>
      </c>
      <c r="W266" s="535">
        <f>CCBASE!$I$43*B266/1000</f>
        <v>155.09220999999999</v>
      </c>
      <c r="X266" s="535"/>
      <c r="Y266" s="535"/>
      <c r="Z266" s="535"/>
      <c r="AA266" s="535"/>
      <c r="AB266" s="535"/>
      <c r="AC266" s="535"/>
      <c r="AD266" s="535">
        <f>CCBASE!$I$39*2</f>
        <v>311.10322599999995</v>
      </c>
    </row>
    <row r="267" spans="1:30" x14ac:dyDescent="0.2">
      <c r="A267" s="533" t="s">
        <v>1053</v>
      </c>
      <c r="B267" s="533">
        <v>2000</v>
      </c>
      <c r="C267" s="533">
        <v>2000</v>
      </c>
      <c r="D267" s="533" t="str">
        <f t="shared" si="10"/>
        <v>KVF20002000</v>
      </c>
      <c r="E267" s="907">
        <f t="shared" si="11"/>
        <v>2327.5162747999998</v>
      </c>
      <c r="F267" s="534">
        <v>24.5</v>
      </c>
      <c r="G267" s="535">
        <f>F267*CCBASE!$B$51</f>
        <v>882</v>
      </c>
      <c r="H267" s="535">
        <f>CCBASE!$I$12*B267/1000</f>
        <v>239.30107460000002</v>
      </c>
      <c r="I267" s="535"/>
      <c r="J267" s="535"/>
      <c r="K267" s="535"/>
      <c r="L267" s="535">
        <f>CCBASE!$I$13*B267/1000</f>
        <v>479.07531</v>
      </c>
      <c r="M267" s="535"/>
      <c r="N267" s="535">
        <f>CCBASE!$I$7*B267/1000</f>
        <v>63.084560000000003</v>
      </c>
      <c r="O267" s="535">
        <f>CCBASE!$I$45*B267/1000</f>
        <v>19.940000000000001</v>
      </c>
      <c r="P267" s="535"/>
      <c r="Q267" s="535">
        <f>CCBASE!$H$51</f>
        <v>5.16</v>
      </c>
      <c r="R267" s="535">
        <f>CCBASE!$I$4</f>
        <v>8.3986041999999994</v>
      </c>
      <c r="S267" s="535">
        <f>CCBASE!$I$8</f>
        <v>16.25526</v>
      </c>
      <c r="T267" s="535">
        <f>CCBASE!$I$44</f>
        <v>94.69</v>
      </c>
      <c r="U267" s="535">
        <f>CCBASE!$I$47*2</f>
        <v>28.82</v>
      </c>
      <c r="V267" s="535">
        <f>CCBASE!$I$46</f>
        <v>2.44</v>
      </c>
      <c r="W267" s="535">
        <f>CCBASE!$I$43*B267/1000</f>
        <v>177.24823999999998</v>
      </c>
      <c r="X267" s="535"/>
      <c r="Y267" s="535"/>
      <c r="Z267" s="535"/>
      <c r="AA267" s="535"/>
      <c r="AB267" s="535"/>
      <c r="AC267" s="535"/>
      <c r="AD267" s="535">
        <f>CCBASE!$I$39*2</f>
        <v>311.10322599999995</v>
      </c>
    </row>
    <row r="268" spans="1:30" x14ac:dyDescent="0.2">
      <c r="A268" s="533" t="s">
        <v>1053</v>
      </c>
      <c r="B268" s="533">
        <v>2250</v>
      </c>
      <c r="C268" s="533">
        <v>2000</v>
      </c>
      <c r="D268" s="533" t="str">
        <f t="shared" si="10"/>
        <v>KVF22502000</v>
      </c>
      <c r="E268" s="907">
        <f t="shared" si="11"/>
        <v>2485.8474228750001</v>
      </c>
      <c r="F268" s="534">
        <v>25.5</v>
      </c>
      <c r="G268" s="535">
        <f>F268*CCBASE!$B$51</f>
        <v>918</v>
      </c>
      <c r="H268" s="535">
        <f>CCBASE!$I$12*B268/1000</f>
        <v>269.21370892500005</v>
      </c>
      <c r="I268" s="535"/>
      <c r="J268" s="535"/>
      <c r="K268" s="535"/>
      <c r="L268" s="535">
        <f>CCBASE!$I$13*B268/1000</f>
        <v>538.95972374999997</v>
      </c>
      <c r="M268" s="535"/>
      <c r="N268" s="535">
        <f>CCBASE!$I$7*B268/1000</f>
        <v>70.970130000000012</v>
      </c>
      <c r="O268" s="535">
        <f>CCBASE!$I$45*B268/1000</f>
        <v>22.432500000000001</v>
      </c>
      <c r="P268" s="535"/>
      <c r="Q268" s="535">
        <f>CCBASE!$H$51</f>
        <v>5.16</v>
      </c>
      <c r="R268" s="535">
        <f>CCBASE!$I$4</f>
        <v>8.3986041999999994</v>
      </c>
      <c r="S268" s="535">
        <f>CCBASE!$I$8</f>
        <v>16.25526</v>
      </c>
      <c r="T268" s="535">
        <f>CCBASE!$I$44</f>
        <v>94.69</v>
      </c>
      <c r="U268" s="535">
        <f>CCBASE!$I$47*2</f>
        <v>28.82</v>
      </c>
      <c r="V268" s="535">
        <f>CCBASE!$I$46</f>
        <v>2.44</v>
      </c>
      <c r="W268" s="535">
        <f>CCBASE!$I$43*B268/1000</f>
        <v>199.40427</v>
      </c>
      <c r="X268" s="535"/>
      <c r="Y268" s="535"/>
      <c r="Z268" s="535"/>
      <c r="AA268" s="535"/>
      <c r="AB268" s="535"/>
      <c r="AC268" s="535"/>
      <c r="AD268" s="535">
        <f>CCBASE!$I$39*2</f>
        <v>311.10322599999995</v>
      </c>
    </row>
    <row r="269" spans="1:30" x14ac:dyDescent="0.2">
      <c r="A269" s="533" t="s">
        <v>1053</v>
      </c>
      <c r="B269" s="533">
        <v>2500</v>
      </c>
      <c r="C269" s="533">
        <v>2000</v>
      </c>
      <c r="D269" s="533" t="str">
        <f t="shared" si="10"/>
        <v>KVF25002000</v>
      </c>
      <c r="E269" s="907">
        <f t="shared" si="11"/>
        <v>2608.17857095</v>
      </c>
      <c r="F269" s="534">
        <v>25.5</v>
      </c>
      <c r="G269" s="535">
        <f>F269*CCBASE!$B$51</f>
        <v>918</v>
      </c>
      <c r="H269" s="535">
        <f>CCBASE!$I$12*B269/1000</f>
        <v>299.12634325000005</v>
      </c>
      <c r="I269" s="535"/>
      <c r="J269" s="535"/>
      <c r="K269" s="535"/>
      <c r="L269" s="535">
        <f>CCBASE!$I$13*B269/1000</f>
        <v>598.84413749999999</v>
      </c>
      <c r="M269" s="535"/>
      <c r="N269" s="535">
        <f>CCBASE!$I$7*B269/1000</f>
        <v>78.855699999999999</v>
      </c>
      <c r="O269" s="535">
        <f>CCBASE!$I$45*B269/1000</f>
        <v>24.925000000000001</v>
      </c>
      <c r="P269" s="535"/>
      <c r="Q269" s="535">
        <f>CCBASE!$H$51</f>
        <v>5.16</v>
      </c>
      <c r="R269" s="535">
        <f>CCBASE!$I$4</f>
        <v>8.3986041999999994</v>
      </c>
      <c r="S269" s="535">
        <f>CCBASE!$I$8</f>
        <v>16.25526</v>
      </c>
      <c r="T269" s="535">
        <f>CCBASE!$I$44</f>
        <v>94.69</v>
      </c>
      <c r="U269" s="535">
        <f>CCBASE!$I$47*2</f>
        <v>28.82</v>
      </c>
      <c r="V269" s="535">
        <f>CCBASE!$I$46</f>
        <v>2.44</v>
      </c>
      <c r="W269" s="535">
        <f>CCBASE!$I$43*B269/1000</f>
        <v>221.56029999999998</v>
      </c>
      <c r="X269" s="535"/>
      <c r="Y269" s="535"/>
      <c r="Z269" s="535"/>
      <c r="AA269" s="535"/>
      <c r="AB269" s="535"/>
      <c r="AC269" s="535"/>
      <c r="AD269" s="535">
        <f>CCBASE!$I$39*2</f>
        <v>311.10322599999995</v>
      </c>
    </row>
    <row r="270" spans="1:30" x14ac:dyDescent="0.2">
      <c r="A270" s="533" t="s">
        <v>1053</v>
      </c>
      <c r="B270" s="533">
        <v>2750</v>
      </c>
      <c r="C270" s="533">
        <v>2000</v>
      </c>
      <c r="D270" s="533" t="str">
        <f t="shared" si="10"/>
        <v>KVF27502000</v>
      </c>
      <c r="E270" s="907">
        <f t="shared" si="11"/>
        <v>2730.5097190250008</v>
      </c>
      <c r="F270" s="534">
        <v>25.5</v>
      </c>
      <c r="G270" s="535">
        <f>F270*CCBASE!$B$51</f>
        <v>918</v>
      </c>
      <c r="H270" s="535">
        <f>CCBASE!$I$12*B270/1000</f>
        <v>329.03897757500005</v>
      </c>
      <c r="I270" s="535"/>
      <c r="J270" s="535"/>
      <c r="K270" s="535"/>
      <c r="L270" s="535">
        <f>CCBASE!$I$13*B270/1000</f>
        <v>658.72855125000001</v>
      </c>
      <c r="M270" s="535"/>
      <c r="N270" s="535">
        <f>CCBASE!$I$7*B270/1000</f>
        <v>86.74127</v>
      </c>
      <c r="O270" s="535">
        <f>CCBASE!$I$45*B270/1000</f>
        <v>27.4175</v>
      </c>
      <c r="P270" s="535"/>
      <c r="Q270" s="535">
        <f>CCBASE!$H$51</f>
        <v>5.16</v>
      </c>
      <c r="R270" s="535">
        <f>CCBASE!$I$4</f>
        <v>8.3986041999999994</v>
      </c>
      <c r="S270" s="535">
        <f>CCBASE!$I$8</f>
        <v>16.25526</v>
      </c>
      <c r="T270" s="535">
        <f>CCBASE!$I$44</f>
        <v>94.69</v>
      </c>
      <c r="U270" s="535">
        <f>CCBASE!$I$47*2</f>
        <v>28.82</v>
      </c>
      <c r="V270" s="535">
        <f>CCBASE!$I$46</f>
        <v>2.44</v>
      </c>
      <c r="W270" s="535">
        <f>CCBASE!$I$43*B270/1000</f>
        <v>243.71633</v>
      </c>
      <c r="X270" s="535"/>
      <c r="Y270" s="535"/>
      <c r="Z270" s="535"/>
      <c r="AA270" s="535"/>
      <c r="AB270" s="535"/>
      <c r="AC270" s="535"/>
      <c r="AD270" s="535">
        <f>CCBASE!$I$39*2</f>
        <v>311.10322599999995</v>
      </c>
    </row>
    <row r="271" spans="1:30" x14ac:dyDescent="0.2">
      <c r="A271" s="533" t="s">
        <v>1053</v>
      </c>
      <c r="B271" s="533">
        <v>3000</v>
      </c>
      <c r="C271" s="533">
        <v>2000</v>
      </c>
      <c r="D271" s="533" t="str">
        <f t="shared" si="10"/>
        <v>KVF30002000</v>
      </c>
      <c r="E271" s="907">
        <f t="shared" si="11"/>
        <v>2852.8408670999997</v>
      </c>
      <c r="F271" s="534">
        <v>25.5</v>
      </c>
      <c r="G271" s="535">
        <f>F271*CCBASE!$B$51</f>
        <v>918</v>
      </c>
      <c r="H271" s="535">
        <f>CCBASE!$I$12*B271/1000</f>
        <v>358.95161190000005</v>
      </c>
      <c r="I271" s="535"/>
      <c r="J271" s="535"/>
      <c r="K271" s="535"/>
      <c r="L271" s="535">
        <f>CCBASE!$I$13*B271/1000</f>
        <v>718.61296499999992</v>
      </c>
      <c r="M271" s="535"/>
      <c r="N271" s="535">
        <f>CCBASE!$I$7*B271/1000</f>
        <v>94.626840000000016</v>
      </c>
      <c r="O271" s="535">
        <f>CCBASE!$I$45*B271/1000</f>
        <v>29.910000000000004</v>
      </c>
      <c r="P271" s="535"/>
      <c r="Q271" s="535">
        <f>CCBASE!$H$51</f>
        <v>5.16</v>
      </c>
      <c r="R271" s="535">
        <f>CCBASE!$I$4</f>
        <v>8.3986041999999994</v>
      </c>
      <c r="S271" s="535">
        <f>CCBASE!$I$8</f>
        <v>16.25526</v>
      </c>
      <c r="T271" s="535">
        <f>CCBASE!$I$44</f>
        <v>94.69</v>
      </c>
      <c r="U271" s="535">
        <f>CCBASE!$I$47*2</f>
        <v>28.82</v>
      </c>
      <c r="V271" s="535">
        <f>CCBASE!$I$46</f>
        <v>2.44</v>
      </c>
      <c r="W271" s="535">
        <f>CCBASE!$I$43*B271/1000</f>
        <v>265.87235999999996</v>
      </c>
      <c r="X271" s="535"/>
      <c r="Y271" s="535"/>
      <c r="Z271" s="535"/>
      <c r="AA271" s="535"/>
      <c r="AB271" s="535"/>
      <c r="AC271" s="535"/>
      <c r="AD271" s="535">
        <f>CCBASE!$I$39*2</f>
        <v>311.10322599999995</v>
      </c>
    </row>
    <row r="272" spans="1:30" x14ac:dyDescent="0.2">
      <c r="A272" s="533" t="s">
        <v>1103</v>
      </c>
      <c r="B272" s="533">
        <v>1000</v>
      </c>
      <c r="C272" s="533">
        <v>1000</v>
      </c>
      <c r="D272" s="533" t="str">
        <f t="shared" si="10"/>
        <v>CMWF10001000</v>
      </c>
      <c r="E272" s="907">
        <f t="shared" si="11"/>
        <v>1655.7725005</v>
      </c>
      <c r="F272" s="534">
        <v>24.5</v>
      </c>
      <c r="G272" s="535">
        <f>F272*CCBASE!$B$51</f>
        <v>882</v>
      </c>
      <c r="H272" s="535">
        <f>CCBASE!$I$12*B272/1000</f>
        <v>119.65053730000001</v>
      </c>
      <c r="I272" s="535"/>
      <c r="J272" s="535"/>
      <c r="K272" s="535"/>
      <c r="L272" s="535">
        <f>CCBASE!$I$13*B272/1000</f>
        <v>239.537655</v>
      </c>
      <c r="M272" s="535"/>
      <c r="N272" s="535">
        <f>CCBASE!$I$7*B272/1000</f>
        <v>31.542280000000002</v>
      </c>
      <c r="O272" s="535">
        <f>CCBASE!$I$45*B272/1000</f>
        <v>9.9700000000000006</v>
      </c>
      <c r="P272" s="535"/>
      <c r="Q272" s="535">
        <f>CCBASE!$H$51</f>
        <v>5.16</v>
      </c>
      <c r="R272" s="535">
        <f>CCBASE!$I$4</f>
        <v>8.3986041999999994</v>
      </c>
      <c r="S272" s="535">
        <f>CCBASE!$I$8</f>
        <v>16.25526</v>
      </c>
      <c r="T272" s="535">
        <f>CCBASE!$I$44</f>
        <v>94.69</v>
      </c>
      <c r="U272" s="535">
        <f>CCBASE!$I$47</f>
        <v>14.41</v>
      </c>
      <c r="V272" s="535">
        <f>CCBASE!$I$46/2</f>
        <v>1.22</v>
      </c>
      <c r="W272" s="535">
        <f>CCBASE!$I$40*B272/1000</f>
        <v>41.308039999999998</v>
      </c>
      <c r="X272" s="535"/>
      <c r="Y272" s="535"/>
      <c r="Z272" s="535"/>
      <c r="AA272" s="535"/>
      <c r="AB272" s="535"/>
      <c r="AC272" s="535"/>
      <c r="AD272" s="535">
        <f>CCBASE!$I$36*2</f>
        <v>191.630124</v>
      </c>
    </row>
    <row r="273" spans="1:30" x14ac:dyDescent="0.2">
      <c r="A273" s="533" t="s">
        <v>1103</v>
      </c>
      <c r="B273" s="533">
        <v>1250</v>
      </c>
      <c r="C273" s="533">
        <v>1000</v>
      </c>
      <c r="D273" s="533" t="str">
        <f t="shared" si="10"/>
        <v>CMWF12501000</v>
      </c>
      <c r="E273" s="907">
        <f t="shared" si="11"/>
        <v>1780.6846285750003</v>
      </c>
      <c r="F273" s="534">
        <v>24.5</v>
      </c>
      <c r="G273" s="535">
        <f>F273*CCBASE!$B$51</f>
        <v>882</v>
      </c>
      <c r="H273" s="535">
        <f>CCBASE!$I$12*B273/1000</f>
        <v>149.56317162500002</v>
      </c>
      <c r="I273" s="535"/>
      <c r="J273" s="535"/>
      <c r="K273" s="535"/>
      <c r="L273" s="535">
        <f>CCBASE!$I$13*B273/1000</f>
        <v>299.42206874999999</v>
      </c>
      <c r="M273" s="535"/>
      <c r="N273" s="535">
        <f>CCBASE!$I$7*B273/1000</f>
        <v>39.427849999999999</v>
      </c>
      <c r="O273" s="535">
        <f>CCBASE!$I$45*B273/1000</f>
        <v>12.4625</v>
      </c>
      <c r="P273" s="535"/>
      <c r="Q273" s="535">
        <f>CCBASE!$H$51</f>
        <v>5.16</v>
      </c>
      <c r="R273" s="535">
        <f>CCBASE!$I$4</f>
        <v>8.3986041999999994</v>
      </c>
      <c r="S273" s="535">
        <f>CCBASE!$I$8</f>
        <v>16.25526</v>
      </c>
      <c r="T273" s="535">
        <f>CCBASE!$I$44</f>
        <v>94.69</v>
      </c>
      <c r="U273" s="535">
        <f>CCBASE!$I$47*2</f>
        <v>28.82</v>
      </c>
      <c r="V273" s="535">
        <f>CCBASE!$I$46/2</f>
        <v>1.22</v>
      </c>
      <c r="W273" s="535">
        <f>CCBASE!$I$40*B273/1000</f>
        <v>51.635049999999993</v>
      </c>
      <c r="X273" s="535"/>
      <c r="Y273" s="535"/>
      <c r="Z273" s="535"/>
      <c r="AA273" s="535"/>
      <c r="AB273" s="535"/>
      <c r="AC273" s="535"/>
      <c r="AD273" s="535">
        <f>CCBASE!$I$36*2</f>
        <v>191.630124</v>
      </c>
    </row>
    <row r="274" spans="1:30" x14ac:dyDescent="0.2">
      <c r="A274" s="533" t="s">
        <v>1103</v>
      </c>
      <c r="B274" s="533">
        <v>1500</v>
      </c>
      <c r="C274" s="533">
        <v>1000</v>
      </c>
      <c r="D274" s="533" t="str">
        <f t="shared" si="10"/>
        <v>CMWF15001000</v>
      </c>
      <c r="E274" s="907">
        <f t="shared" si="11"/>
        <v>1891.1867566499998</v>
      </c>
      <c r="F274" s="534">
        <v>24.5</v>
      </c>
      <c r="G274" s="535">
        <f>F274*CCBASE!$B$51</f>
        <v>882</v>
      </c>
      <c r="H274" s="535">
        <f>CCBASE!$I$12*B274/1000</f>
        <v>179.47580595000002</v>
      </c>
      <c r="I274" s="535"/>
      <c r="J274" s="535"/>
      <c r="K274" s="535"/>
      <c r="L274" s="535">
        <f>CCBASE!$I$13*B274/1000</f>
        <v>359.30648249999996</v>
      </c>
      <c r="M274" s="535"/>
      <c r="N274" s="535">
        <f>CCBASE!$I$7*B274/1000</f>
        <v>47.313420000000008</v>
      </c>
      <c r="O274" s="535">
        <f>CCBASE!$I$45*B274/1000</f>
        <v>14.955000000000002</v>
      </c>
      <c r="P274" s="535"/>
      <c r="Q274" s="535">
        <f>CCBASE!$H$51</f>
        <v>5.16</v>
      </c>
      <c r="R274" s="535">
        <f>CCBASE!$I$4</f>
        <v>8.3986041999999994</v>
      </c>
      <c r="S274" s="535">
        <f>CCBASE!$I$8</f>
        <v>16.25526</v>
      </c>
      <c r="T274" s="535">
        <f>CCBASE!$I$44</f>
        <v>94.69</v>
      </c>
      <c r="U274" s="535">
        <f>CCBASE!$I$47*2</f>
        <v>28.82</v>
      </c>
      <c r="V274" s="535">
        <f>CCBASE!$I$46/2</f>
        <v>1.22</v>
      </c>
      <c r="W274" s="535">
        <f>CCBASE!$I$40*B274/1000</f>
        <v>61.962060000000001</v>
      </c>
      <c r="X274" s="535"/>
      <c r="Y274" s="535"/>
      <c r="Z274" s="535"/>
      <c r="AA274" s="535"/>
      <c r="AB274" s="535"/>
      <c r="AC274" s="535"/>
      <c r="AD274" s="535">
        <f>CCBASE!$I$36*2</f>
        <v>191.630124</v>
      </c>
    </row>
    <row r="275" spans="1:30" x14ac:dyDescent="0.2">
      <c r="A275" s="533" t="s">
        <v>1103</v>
      </c>
      <c r="B275" s="533">
        <v>1750</v>
      </c>
      <c r="C275" s="533">
        <v>1000</v>
      </c>
      <c r="D275" s="533" t="str">
        <f t="shared" si="10"/>
        <v>CMWF17501000</v>
      </c>
      <c r="E275" s="907">
        <f t="shared" si="11"/>
        <v>2002.908884725</v>
      </c>
      <c r="F275" s="534">
        <v>24.5</v>
      </c>
      <c r="G275" s="535">
        <f>F275*CCBASE!$B$51</f>
        <v>882</v>
      </c>
      <c r="H275" s="535">
        <f>CCBASE!$I$12*B275/1000</f>
        <v>209.38844027500002</v>
      </c>
      <c r="I275" s="535"/>
      <c r="J275" s="535"/>
      <c r="K275" s="535"/>
      <c r="L275" s="535">
        <f>CCBASE!$I$13*B275/1000</f>
        <v>419.19089624999998</v>
      </c>
      <c r="M275" s="535"/>
      <c r="N275" s="535">
        <f>CCBASE!$I$7*B275/1000</f>
        <v>55.198990000000002</v>
      </c>
      <c r="O275" s="535">
        <f>CCBASE!$I$45*B275/1000</f>
        <v>17.447500000000002</v>
      </c>
      <c r="P275" s="535"/>
      <c r="Q275" s="535">
        <f>CCBASE!$H$51</f>
        <v>5.16</v>
      </c>
      <c r="R275" s="535">
        <f>CCBASE!$I$4</f>
        <v>8.3986041999999994</v>
      </c>
      <c r="S275" s="535">
        <f>CCBASE!$I$8</f>
        <v>16.25526</v>
      </c>
      <c r="T275" s="535">
        <f>CCBASE!$I$44</f>
        <v>94.69</v>
      </c>
      <c r="U275" s="535">
        <f>CCBASE!$I$47*2</f>
        <v>28.82</v>
      </c>
      <c r="V275" s="535">
        <f>CCBASE!$I$46</f>
        <v>2.44</v>
      </c>
      <c r="W275" s="535">
        <f>CCBASE!$I$40*B275/1000</f>
        <v>72.289069999999995</v>
      </c>
      <c r="X275" s="535"/>
      <c r="Y275" s="535"/>
      <c r="Z275" s="535"/>
      <c r="AA275" s="535"/>
      <c r="AB275" s="535"/>
      <c r="AC275" s="535"/>
      <c r="AD275" s="535">
        <f>CCBASE!$I$36*2</f>
        <v>191.630124</v>
      </c>
    </row>
    <row r="276" spans="1:30" x14ac:dyDescent="0.2">
      <c r="A276" s="533" t="s">
        <v>1103</v>
      </c>
      <c r="B276" s="533">
        <v>2000</v>
      </c>
      <c r="C276" s="533">
        <v>1000</v>
      </c>
      <c r="D276" s="533" t="str">
        <f t="shared" si="10"/>
        <v>CMWF20001000</v>
      </c>
      <c r="E276" s="907">
        <f t="shared" si="11"/>
        <v>2113.4110127999998</v>
      </c>
      <c r="F276" s="534">
        <v>24.5</v>
      </c>
      <c r="G276" s="535">
        <f>F276*CCBASE!$B$51</f>
        <v>882</v>
      </c>
      <c r="H276" s="535">
        <f>CCBASE!$I$12*B276/1000</f>
        <v>239.30107460000002</v>
      </c>
      <c r="I276" s="535"/>
      <c r="J276" s="535"/>
      <c r="K276" s="535"/>
      <c r="L276" s="535">
        <f>CCBASE!$I$13*B276/1000</f>
        <v>479.07531</v>
      </c>
      <c r="M276" s="535"/>
      <c r="N276" s="535">
        <f>CCBASE!$I$7*B276/1000</f>
        <v>63.084560000000003</v>
      </c>
      <c r="O276" s="535">
        <f>CCBASE!$I$45*B276/1000</f>
        <v>19.940000000000001</v>
      </c>
      <c r="P276" s="535"/>
      <c r="Q276" s="535">
        <f>CCBASE!$H$51</f>
        <v>5.16</v>
      </c>
      <c r="R276" s="535">
        <f>CCBASE!$I$4</f>
        <v>8.3986041999999994</v>
      </c>
      <c r="S276" s="535">
        <f>CCBASE!$I$8</f>
        <v>16.25526</v>
      </c>
      <c r="T276" s="535">
        <f>CCBASE!$I$44</f>
        <v>94.69</v>
      </c>
      <c r="U276" s="535">
        <f>CCBASE!$I$47*2</f>
        <v>28.82</v>
      </c>
      <c r="V276" s="535">
        <f>CCBASE!$I$46</f>
        <v>2.44</v>
      </c>
      <c r="W276" s="535">
        <f>CCBASE!$I$40*B276/1000</f>
        <v>82.616079999999997</v>
      </c>
      <c r="X276" s="535"/>
      <c r="Y276" s="535"/>
      <c r="Z276" s="535"/>
      <c r="AA276" s="535"/>
      <c r="AB276" s="535"/>
      <c r="AC276" s="535"/>
      <c r="AD276" s="535">
        <f>CCBASE!$I$36*2</f>
        <v>191.630124</v>
      </c>
    </row>
    <row r="277" spans="1:30" x14ac:dyDescent="0.2">
      <c r="A277" s="533" t="s">
        <v>1103</v>
      </c>
      <c r="B277" s="533">
        <v>2250</v>
      </c>
      <c r="C277" s="533">
        <v>1000</v>
      </c>
      <c r="D277" s="533" t="str">
        <f t="shared" si="10"/>
        <v>CMWF22501000</v>
      </c>
      <c r="E277" s="907">
        <f t="shared" si="11"/>
        <v>2259.9131408749995</v>
      </c>
      <c r="F277" s="534">
        <v>25.5</v>
      </c>
      <c r="G277" s="535">
        <f>F277*CCBASE!$B$51</f>
        <v>918</v>
      </c>
      <c r="H277" s="535">
        <f>CCBASE!$I$12*B277/1000</f>
        <v>269.21370892500005</v>
      </c>
      <c r="I277" s="535"/>
      <c r="J277" s="535"/>
      <c r="K277" s="535"/>
      <c r="L277" s="535">
        <f>CCBASE!$I$13*B277/1000</f>
        <v>538.95972374999997</v>
      </c>
      <c r="M277" s="535"/>
      <c r="N277" s="535">
        <f>CCBASE!$I$7*B277/1000</f>
        <v>70.970130000000012</v>
      </c>
      <c r="O277" s="535">
        <f>CCBASE!$I$45*B277/1000</f>
        <v>22.432500000000001</v>
      </c>
      <c r="P277" s="535"/>
      <c r="Q277" s="535">
        <f>CCBASE!$H$51</f>
        <v>5.16</v>
      </c>
      <c r="R277" s="535">
        <f>CCBASE!$I$4</f>
        <v>8.3986041999999994</v>
      </c>
      <c r="S277" s="535">
        <f>CCBASE!$I$8</f>
        <v>16.25526</v>
      </c>
      <c r="T277" s="535">
        <f>CCBASE!$I$44</f>
        <v>94.69</v>
      </c>
      <c r="U277" s="535">
        <f>CCBASE!$I$47*2</f>
        <v>28.82</v>
      </c>
      <c r="V277" s="535">
        <f>CCBASE!$I$46</f>
        <v>2.44</v>
      </c>
      <c r="W277" s="535">
        <f>CCBASE!$I$40*B277/1000</f>
        <v>92.943089999999998</v>
      </c>
      <c r="X277" s="535"/>
      <c r="Y277" s="535"/>
      <c r="Z277" s="535"/>
      <c r="AA277" s="535"/>
      <c r="AB277" s="535"/>
      <c r="AC277" s="535"/>
      <c r="AD277" s="535">
        <f>CCBASE!$I$36*2</f>
        <v>191.630124</v>
      </c>
    </row>
    <row r="278" spans="1:30" x14ac:dyDescent="0.2">
      <c r="A278" s="533" t="s">
        <v>1103</v>
      </c>
      <c r="B278" s="533">
        <v>2500</v>
      </c>
      <c r="C278" s="533">
        <v>1000</v>
      </c>
      <c r="D278" s="533" t="str">
        <f t="shared" si="10"/>
        <v>CMWF25001000</v>
      </c>
      <c r="E278" s="907">
        <f t="shared" si="11"/>
        <v>2370.4152689500002</v>
      </c>
      <c r="F278" s="534">
        <v>25.5</v>
      </c>
      <c r="G278" s="535">
        <f>F278*CCBASE!$B$51</f>
        <v>918</v>
      </c>
      <c r="H278" s="535">
        <f>CCBASE!$I$12*B278/1000</f>
        <v>299.12634325000005</v>
      </c>
      <c r="I278" s="535"/>
      <c r="J278" s="535"/>
      <c r="K278" s="535"/>
      <c r="L278" s="535">
        <f>CCBASE!$I$13*B278/1000</f>
        <v>598.84413749999999</v>
      </c>
      <c r="M278" s="535"/>
      <c r="N278" s="535">
        <f>CCBASE!$I$7*B278/1000</f>
        <v>78.855699999999999</v>
      </c>
      <c r="O278" s="535">
        <f>CCBASE!$I$45*B278/1000</f>
        <v>24.925000000000001</v>
      </c>
      <c r="P278" s="535"/>
      <c r="Q278" s="535">
        <f>CCBASE!$H$51</f>
        <v>5.16</v>
      </c>
      <c r="R278" s="535">
        <f>CCBASE!$I$4</f>
        <v>8.3986041999999994</v>
      </c>
      <c r="S278" s="535">
        <f>CCBASE!$I$8</f>
        <v>16.25526</v>
      </c>
      <c r="T278" s="535">
        <f>CCBASE!$I$44</f>
        <v>94.69</v>
      </c>
      <c r="U278" s="535">
        <f>CCBASE!$I$47*2</f>
        <v>28.82</v>
      </c>
      <c r="V278" s="535">
        <f>CCBASE!$I$46</f>
        <v>2.44</v>
      </c>
      <c r="W278" s="535">
        <f>CCBASE!$I$40*B278/1000</f>
        <v>103.27009999999999</v>
      </c>
      <c r="X278" s="535"/>
      <c r="Y278" s="535"/>
      <c r="Z278" s="535"/>
      <c r="AA278" s="535"/>
      <c r="AB278" s="535"/>
      <c r="AC278" s="535"/>
      <c r="AD278" s="535">
        <f>CCBASE!$I$36*2</f>
        <v>191.630124</v>
      </c>
    </row>
    <row r="279" spans="1:30" x14ac:dyDescent="0.2">
      <c r="A279" s="533" t="s">
        <v>1103</v>
      </c>
      <c r="B279" s="533">
        <v>2750</v>
      </c>
      <c r="C279" s="533">
        <v>1000</v>
      </c>
      <c r="D279" s="533" t="str">
        <f t="shared" si="10"/>
        <v>CMWF27501000</v>
      </c>
      <c r="E279" s="907">
        <f t="shared" si="11"/>
        <v>2480.9173970250004</v>
      </c>
      <c r="F279" s="534">
        <v>25.5</v>
      </c>
      <c r="G279" s="535">
        <f>F279*CCBASE!$B$51</f>
        <v>918</v>
      </c>
      <c r="H279" s="535">
        <f>CCBASE!$I$12*B279/1000</f>
        <v>329.03897757500005</v>
      </c>
      <c r="I279" s="535"/>
      <c r="J279" s="535"/>
      <c r="K279" s="535"/>
      <c r="L279" s="535">
        <f>CCBASE!$I$13*B279/1000</f>
        <v>658.72855125000001</v>
      </c>
      <c r="M279" s="535"/>
      <c r="N279" s="535">
        <f>CCBASE!$I$7*B279/1000</f>
        <v>86.74127</v>
      </c>
      <c r="O279" s="535">
        <f>CCBASE!$I$45*B279/1000</f>
        <v>27.4175</v>
      </c>
      <c r="P279" s="535"/>
      <c r="Q279" s="535">
        <f>CCBASE!$H$51</f>
        <v>5.16</v>
      </c>
      <c r="R279" s="535">
        <f>CCBASE!$I$4</f>
        <v>8.3986041999999994</v>
      </c>
      <c r="S279" s="535">
        <f>CCBASE!$I$8</f>
        <v>16.25526</v>
      </c>
      <c r="T279" s="535">
        <f>CCBASE!$I$44</f>
        <v>94.69</v>
      </c>
      <c r="U279" s="535">
        <f>CCBASE!$I$47*2</f>
        <v>28.82</v>
      </c>
      <c r="V279" s="535">
        <f>CCBASE!$I$46</f>
        <v>2.44</v>
      </c>
      <c r="W279" s="535">
        <f>CCBASE!$I$40*B279/1000</f>
        <v>113.59711</v>
      </c>
      <c r="X279" s="535"/>
      <c r="Y279" s="535"/>
      <c r="Z279" s="535"/>
      <c r="AA279" s="535"/>
      <c r="AB279" s="535"/>
      <c r="AC279" s="535"/>
      <c r="AD279" s="535">
        <f>CCBASE!$I$36*2</f>
        <v>191.630124</v>
      </c>
    </row>
    <row r="280" spans="1:30" x14ac:dyDescent="0.2">
      <c r="A280" s="533" t="s">
        <v>1103</v>
      </c>
      <c r="B280" s="533">
        <v>3000</v>
      </c>
      <c r="C280" s="533">
        <v>1000</v>
      </c>
      <c r="D280" s="533" t="str">
        <f t="shared" si="10"/>
        <v>CMWF30001000</v>
      </c>
      <c r="E280" s="907">
        <f t="shared" si="11"/>
        <v>2591.4195250999996</v>
      </c>
      <c r="F280" s="534">
        <v>25.5</v>
      </c>
      <c r="G280" s="535">
        <f>F280*CCBASE!$B$51</f>
        <v>918</v>
      </c>
      <c r="H280" s="535">
        <f>CCBASE!$I$12*B280/1000</f>
        <v>358.95161190000005</v>
      </c>
      <c r="I280" s="535"/>
      <c r="J280" s="535"/>
      <c r="K280" s="535"/>
      <c r="L280" s="535">
        <f>CCBASE!$I$13*B280/1000</f>
        <v>718.61296499999992</v>
      </c>
      <c r="M280" s="535"/>
      <c r="N280" s="535">
        <f>CCBASE!$I$7*B280/1000</f>
        <v>94.626840000000016</v>
      </c>
      <c r="O280" s="535">
        <f>CCBASE!$I$45*B280/1000</f>
        <v>29.910000000000004</v>
      </c>
      <c r="P280" s="535"/>
      <c r="Q280" s="535">
        <f>CCBASE!$H$51</f>
        <v>5.16</v>
      </c>
      <c r="R280" s="535">
        <f>CCBASE!$I$4</f>
        <v>8.3986041999999994</v>
      </c>
      <c r="S280" s="535">
        <f>CCBASE!$I$8</f>
        <v>16.25526</v>
      </c>
      <c r="T280" s="535">
        <f>CCBASE!$I$44</f>
        <v>94.69</v>
      </c>
      <c r="U280" s="535">
        <f>CCBASE!$I$47*2</f>
        <v>28.82</v>
      </c>
      <c r="V280" s="535">
        <f>CCBASE!$I$46</f>
        <v>2.44</v>
      </c>
      <c r="W280" s="535">
        <f>CCBASE!$I$40*B280/1000</f>
        <v>123.92412</v>
      </c>
      <c r="X280" s="535"/>
      <c r="Y280" s="535"/>
      <c r="Z280" s="535"/>
      <c r="AA280" s="535"/>
      <c r="AB280" s="535"/>
      <c r="AC280" s="535"/>
      <c r="AD280" s="535">
        <f>CCBASE!$I$36*2</f>
        <v>191.630124</v>
      </c>
    </row>
    <row r="281" spans="1:30" x14ac:dyDescent="0.2">
      <c r="A281" s="533" t="s">
        <v>1103</v>
      </c>
      <c r="B281" s="533">
        <v>1000</v>
      </c>
      <c r="C281" s="533">
        <v>1250</v>
      </c>
      <c r="D281" s="533" t="str">
        <f t="shared" si="10"/>
        <v>CMWF10001250</v>
      </c>
      <c r="E281" s="907">
        <f t="shared" si="11"/>
        <v>1655.7725005</v>
      </c>
      <c r="F281" s="534">
        <v>24.5</v>
      </c>
      <c r="G281" s="535">
        <f>F281*CCBASE!$B$51</f>
        <v>882</v>
      </c>
      <c r="H281" s="535">
        <f>CCBASE!$I$12*B281/1000</f>
        <v>119.65053730000001</v>
      </c>
      <c r="I281" s="535"/>
      <c r="J281" s="535"/>
      <c r="K281" s="535"/>
      <c r="L281" s="535">
        <f>CCBASE!$I$13*B281/1000</f>
        <v>239.537655</v>
      </c>
      <c r="M281" s="535"/>
      <c r="N281" s="535">
        <f>CCBASE!$I$7*B281/1000</f>
        <v>31.542280000000002</v>
      </c>
      <c r="O281" s="535">
        <f>CCBASE!$I$45*B281/1000</f>
        <v>9.9700000000000006</v>
      </c>
      <c r="P281" s="535"/>
      <c r="Q281" s="535">
        <f>CCBASE!$H$51</f>
        <v>5.16</v>
      </c>
      <c r="R281" s="535">
        <f>CCBASE!$I$4</f>
        <v>8.3986041999999994</v>
      </c>
      <c r="S281" s="535">
        <f>CCBASE!$I$8</f>
        <v>16.25526</v>
      </c>
      <c r="T281" s="535">
        <f>CCBASE!$I$44</f>
        <v>94.69</v>
      </c>
      <c r="U281" s="535">
        <f>CCBASE!$I$47</f>
        <v>14.41</v>
      </c>
      <c r="V281" s="535">
        <f>CCBASE!$I$46/2</f>
        <v>1.22</v>
      </c>
      <c r="W281" s="535">
        <f>CCBASE!$I$40*B281/1000</f>
        <v>41.308039999999998</v>
      </c>
      <c r="X281" s="535"/>
      <c r="Y281" s="535"/>
      <c r="Z281" s="535"/>
      <c r="AA281" s="535"/>
      <c r="AB281" s="535"/>
      <c r="AC281" s="535"/>
      <c r="AD281" s="535">
        <f>CCBASE!$I$36*2</f>
        <v>191.630124</v>
      </c>
    </row>
    <row r="282" spans="1:30" x14ac:dyDescent="0.2">
      <c r="A282" s="533" t="s">
        <v>1103</v>
      </c>
      <c r="B282" s="533">
        <v>1250</v>
      </c>
      <c r="C282" s="533">
        <v>1250</v>
      </c>
      <c r="D282" s="533" t="str">
        <f t="shared" si="10"/>
        <v>CMWF12501250</v>
      </c>
      <c r="E282" s="907">
        <f t="shared" si="11"/>
        <v>1780.6846285750003</v>
      </c>
      <c r="F282" s="534">
        <v>24.5</v>
      </c>
      <c r="G282" s="535">
        <f>F282*CCBASE!$B$51</f>
        <v>882</v>
      </c>
      <c r="H282" s="535">
        <f>CCBASE!$I$12*B282/1000</f>
        <v>149.56317162500002</v>
      </c>
      <c r="I282" s="535"/>
      <c r="J282" s="535"/>
      <c r="K282" s="535"/>
      <c r="L282" s="535">
        <f>CCBASE!$I$13*B282/1000</f>
        <v>299.42206874999999</v>
      </c>
      <c r="M282" s="535"/>
      <c r="N282" s="535">
        <f>CCBASE!$I$7*B282/1000</f>
        <v>39.427849999999999</v>
      </c>
      <c r="O282" s="535">
        <f>CCBASE!$I$45*B282/1000</f>
        <v>12.4625</v>
      </c>
      <c r="P282" s="535"/>
      <c r="Q282" s="535">
        <f>CCBASE!$H$51</f>
        <v>5.16</v>
      </c>
      <c r="R282" s="535">
        <f>CCBASE!$I$4</f>
        <v>8.3986041999999994</v>
      </c>
      <c r="S282" s="535">
        <f>CCBASE!$I$8</f>
        <v>16.25526</v>
      </c>
      <c r="T282" s="535">
        <f>CCBASE!$I$44</f>
        <v>94.69</v>
      </c>
      <c r="U282" s="535">
        <f>CCBASE!$I$47*2</f>
        <v>28.82</v>
      </c>
      <c r="V282" s="535">
        <f>CCBASE!$I$46/2</f>
        <v>1.22</v>
      </c>
      <c r="W282" s="535">
        <f>CCBASE!$I$40*B282/1000</f>
        <v>51.635049999999993</v>
      </c>
      <c r="X282" s="535"/>
      <c r="Y282" s="535"/>
      <c r="Z282" s="535"/>
      <c r="AA282" s="535"/>
      <c r="AB282" s="535"/>
      <c r="AC282" s="535"/>
      <c r="AD282" s="535">
        <f>CCBASE!$I$36*2</f>
        <v>191.630124</v>
      </c>
    </row>
    <row r="283" spans="1:30" x14ac:dyDescent="0.2">
      <c r="A283" s="533" t="s">
        <v>1103</v>
      </c>
      <c r="B283" s="533">
        <v>1500</v>
      </c>
      <c r="C283" s="533">
        <v>1250</v>
      </c>
      <c r="D283" s="533" t="str">
        <f t="shared" si="10"/>
        <v>CMWF15001250</v>
      </c>
      <c r="E283" s="907">
        <f t="shared" si="11"/>
        <v>1891.1867566499998</v>
      </c>
      <c r="F283" s="534">
        <v>24.5</v>
      </c>
      <c r="G283" s="535">
        <f>F283*CCBASE!$B$51</f>
        <v>882</v>
      </c>
      <c r="H283" s="535">
        <f>CCBASE!$I$12*B283/1000</f>
        <v>179.47580595000002</v>
      </c>
      <c r="I283" s="535"/>
      <c r="J283" s="535"/>
      <c r="K283" s="535"/>
      <c r="L283" s="535">
        <f>CCBASE!$I$13*B283/1000</f>
        <v>359.30648249999996</v>
      </c>
      <c r="M283" s="535"/>
      <c r="N283" s="535">
        <f>CCBASE!$I$7*B283/1000</f>
        <v>47.313420000000008</v>
      </c>
      <c r="O283" s="535">
        <f>CCBASE!$I$45*B283/1000</f>
        <v>14.955000000000002</v>
      </c>
      <c r="P283" s="535"/>
      <c r="Q283" s="535">
        <f>CCBASE!$H$51</f>
        <v>5.16</v>
      </c>
      <c r="R283" s="535">
        <f>CCBASE!$I$4</f>
        <v>8.3986041999999994</v>
      </c>
      <c r="S283" s="535">
        <f>CCBASE!$I$8</f>
        <v>16.25526</v>
      </c>
      <c r="T283" s="535">
        <f>CCBASE!$I$44</f>
        <v>94.69</v>
      </c>
      <c r="U283" s="535">
        <f>CCBASE!$I$47*2</f>
        <v>28.82</v>
      </c>
      <c r="V283" s="535">
        <f>CCBASE!$I$46/2</f>
        <v>1.22</v>
      </c>
      <c r="W283" s="535">
        <f>CCBASE!$I$40*B283/1000</f>
        <v>61.962060000000001</v>
      </c>
      <c r="X283" s="535"/>
      <c r="Y283" s="535"/>
      <c r="Z283" s="535"/>
      <c r="AA283" s="535"/>
      <c r="AB283" s="535"/>
      <c r="AC283" s="535"/>
      <c r="AD283" s="535">
        <f>CCBASE!$I$36*2</f>
        <v>191.630124</v>
      </c>
    </row>
    <row r="284" spans="1:30" x14ac:dyDescent="0.2">
      <c r="A284" s="533" t="s">
        <v>1103</v>
      </c>
      <c r="B284" s="533">
        <v>1750</v>
      </c>
      <c r="C284" s="533">
        <v>1250</v>
      </c>
      <c r="D284" s="533" t="str">
        <f t="shared" si="10"/>
        <v>CMWF17501250</v>
      </c>
      <c r="E284" s="907">
        <f t="shared" si="11"/>
        <v>2002.908884725</v>
      </c>
      <c r="F284" s="534">
        <v>24.5</v>
      </c>
      <c r="G284" s="535">
        <f>F284*CCBASE!$B$51</f>
        <v>882</v>
      </c>
      <c r="H284" s="535">
        <f>CCBASE!$I$12*B284/1000</f>
        <v>209.38844027500002</v>
      </c>
      <c r="I284" s="535"/>
      <c r="J284" s="535"/>
      <c r="K284" s="535"/>
      <c r="L284" s="535">
        <f>CCBASE!$I$13*B284/1000</f>
        <v>419.19089624999998</v>
      </c>
      <c r="M284" s="535"/>
      <c r="N284" s="535">
        <f>CCBASE!$I$7*B284/1000</f>
        <v>55.198990000000002</v>
      </c>
      <c r="O284" s="535">
        <f>CCBASE!$I$45*B284/1000</f>
        <v>17.447500000000002</v>
      </c>
      <c r="P284" s="535"/>
      <c r="Q284" s="535">
        <f>CCBASE!$H$51</f>
        <v>5.16</v>
      </c>
      <c r="R284" s="535">
        <f>CCBASE!$I$4</f>
        <v>8.3986041999999994</v>
      </c>
      <c r="S284" s="535">
        <f>CCBASE!$I$8</f>
        <v>16.25526</v>
      </c>
      <c r="T284" s="535">
        <f>CCBASE!$I$44</f>
        <v>94.69</v>
      </c>
      <c r="U284" s="535">
        <f>CCBASE!$I$47*2</f>
        <v>28.82</v>
      </c>
      <c r="V284" s="535">
        <f>CCBASE!$I$46</f>
        <v>2.44</v>
      </c>
      <c r="W284" s="535">
        <f>CCBASE!$I$40*B284/1000</f>
        <v>72.289069999999995</v>
      </c>
      <c r="X284" s="535"/>
      <c r="Y284" s="535"/>
      <c r="Z284" s="535"/>
      <c r="AA284" s="535"/>
      <c r="AB284" s="535"/>
      <c r="AC284" s="535"/>
      <c r="AD284" s="535">
        <f>CCBASE!$I$36*2</f>
        <v>191.630124</v>
      </c>
    </row>
    <row r="285" spans="1:30" x14ac:dyDescent="0.2">
      <c r="A285" s="533" t="s">
        <v>1103</v>
      </c>
      <c r="B285" s="533">
        <v>2000</v>
      </c>
      <c r="C285" s="533">
        <v>1250</v>
      </c>
      <c r="D285" s="533" t="str">
        <f t="shared" si="10"/>
        <v>CMWF20001250</v>
      </c>
      <c r="E285" s="907">
        <f t="shared" si="11"/>
        <v>2113.4110127999998</v>
      </c>
      <c r="F285" s="534">
        <v>24.5</v>
      </c>
      <c r="G285" s="535">
        <f>F285*CCBASE!$B$51</f>
        <v>882</v>
      </c>
      <c r="H285" s="535">
        <f>CCBASE!$I$12*B285/1000</f>
        <v>239.30107460000002</v>
      </c>
      <c r="I285" s="535"/>
      <c r="J285" s="535"/>
      <c r="K285" s="535"/>
      <c r="L285" s="535">
        <f>CCBASE!$I$13*B285/1000</f>
        <v>479.07531</v>
      </c>
      <c r="M285" s="535"/>
      <c r="N285" s="535">
        <f>CCBASE!$I$7*B285/1000</f>
        <v>63.084560000000003</v>
      </c>
      <c r="O285" s="535">
        <f>CCBASE!$I$45*B285/1000</f>
        <v>19.940000000000001</v>
      </c>
      <c r="P285" s="535"/>
      <c r="Q285" s="535">
        <f>CCBASE!$H$51</f>
        <v>5.16</v>
      </c>
      <c r="R285" s="535">
        <f>CCBASE!$I$4</f>
        <v>8.3986041999999994</v>
      </c>
      <c r="S285" s="535">
        <f>CCBASE!$I$8</f>
        <v>16.25526</v>
      </c>
      <c r="T285" s="535">
        <f>CCBASE!$I$44</f>
        <v>94.69</v>
      </c>
      <c r="U285" s="535">
        <f>CCBASE!$I$47*2</f>
        <v>28.82</v>
      </c>
      <c r="V285" s="535">
        <f>CCBASE!$I$46</f>
        <v>2.44</v>
      </c>
      <c r="W285" s="535">
        <f>CCBASE!$I$40*B285/1000</f>
        <v>82.616079999999997</v>
      </c>
      <c r="X285" s="535"/>
      <c r="Y285" s="535"/>
      <c r="Z285" s="535"/>
      <c r="AA285" s="535"/>
      <c r="AB285" s="535"/>
      <c r="AC285" s="535"/>
      <c r="AD285" s="535">
        <f>CCBASE!$I$36*2</f>
        <v>191.630124</v>
      </c>
    </row>
    <row r="286" spans="1:30" x14ac:dyDescent="0.2">
      <c r="A286" s="533" t="s">
        <v>1103</v>
      </c>
      <c r="B286" s="533">
        <v>2250</v>
      </c>
      <c r="C286" s="533">
        <v>1250</v>
      </c>
      <c r="D286" s="533" t="str">
        <f t="shared" si="10"/>
        <v>CMWF22501250</v>
      </c>
      <c r="E286" s="907">
        <f t="shared" si="11"/>
        <v>2223.9131408749995</v>
      </c>
      <c r="F286" s="534">
        <v>24.5</v>
      </c>
      <c r="G286" s="535">
        <f>F286*CCBASE!$B$51</f>
        <v>882</v>
      </c>
      <c r="H286" s="535">
        <f>CCBASE!$I$12*B286/1000</f>
        <v>269.21370892500005</v>
      </c>
      <c r="I286" s="535"/>
      <c r="J286" s="535"/>
      <c r="K286" s="535"/>
      <c r="L286" s="535">
        <f>CCBASE!$I$13*B286/1000</f>
        <v>538.95972374999997</v>
      </c>
      <c r="M286" s="535"/>
      <c r="N286" s="535">
        <f>CCBASE!$I$7*B286/1000</f>
        <v>70.970130000000012</v>
      </c>
      <c r="O286" s="535">
        <f>CCBASE!$I$45*B286/1000</f>
        <v>22.432500000000001</v>
      </c>
      <c r="P286" s="535"/>
      <c r="Q286" s="535">
        <f>CCBASE!$H$51</f>
        <v>5.16</v>
      </c>
      <c r="R286" s="535">
        <f>CCBASE!$I$4</f>
        <v>8.3986041999999994</v>
      </c>
      <c r="S286" s="535">
        <f>CCBASE!$I$8</f>
        <v>16.25526</v>
      </c>
      <c r="T286" s="535">
        <f>CCBASE!$I$44</f>
        <v>94.69</v>
      </c>
      <c r="U286" s="535">
        <f>CCBASE!$I$47*2</f>
        <v>28.82</v>
      </c>
      <c r="V286" s="535">
        <f>CCBASE!$I$46</f>
        <v>2.44</v>
      </c>
      <c r="W286" s="535">
        <f>CCBASE!$I$40*B286/1000</f>
        <v>92.943089999999998</v>
      </c>
      <c r="X286" s="535"/>
      <c r="Y286" s="535"/>
      <c r="Z286" s="535"/>
      <c r="AA286" s="535"/>
      <c r="AB286" s="535"/>
      <c r="AC286" s="535"/>
      <c r="AD286" s="535">
        <f>CCBASE!$I$36*2</f>
        <v>191.630124</v>
      </c>
    </row>
    <row r="287" spans="1:30" x14ac:dyDescent="0.2">
      <c r="A287" s="533" t="s">
        <v>1103</v>
      </c>
      <c r="B287" s="533">
        <v>2500</v>
      </c>
      <c r="C287" s="533">
        <v>1250</v>
      </c>
      <c r="D287" s="533" t="str">
        <f t="shared" si="10"/>
        <v>CMWF25001250</v>
      </c>
      <c r="E287" s="907">
        <f t="shared" si="11"/>
        <v>2370.4152689500002</v>
      </c>
      <c r="F287" s="534">
        <v>25.5</v>
      </c>
      <c r="G287" s="535">
        <f>F287*CCBASE!$B$51</f>
        <v>918</v>
      </c>
      <c r="H287" s="535">
        <f>CCBASE!$I$12*B287/1000</f>
        <v>299.12634325000005</v>
      </c>
      <c r="I287" s="535"/>
      <c r="J287" s="535"/>
      <c r="K287" s="535"/>
      <c r="L287" s="535">
        <f>CCBASE!$I$13*B287/1000</f>
        <v>598.84413749999999</v>
      </c>
      <c r="M287" s="535"/>
      <c r="N287" s="535">
        <f>CCBASE!$I$7*B287/1000</f>
        <v>78.855699999999999</v>
      </c>
      <c r="O287" s="535">
        <f>CCBASE!$I$45*B287/1000</f>
        <v>24.925000000000001</v>
      </c>
      <c r="P287" s="535"/>
      <c r="Q287" s="535">
        <f>CCBASE!$H$51</f>
        <v>5.16</v>
      </c>
      <c r="R287" s="535">
        <f>CCBASE!$I$4</f>
        <v>8.3986041999999994</v>
      </c>
      <c r="S287" s="535">
        <f>CCBASE!$I$8</f>
        <v>16.25526</v>
      </c>
      <c r="T287" s="535">
        <f>CCBASE!$I$44</f>
        <v>94.69</v>
      </c>
      <c r="U287" s="535">
        <f>CCBASE!$I$47*2</f>
        <v>28.82</v>
      </c>
      <c r="V287" s="535">
        <f>CCBASE!$I$46</f>
        <v>2.44</v>
      </c>
      <c r="W287" s="535">
        <f>CCBASE!$I$40*B287/1000</f>
        <v>103.27009999999999</v>
      </c>
      <c r="X287" s="535"/>
      <c r="Y287" s="535"/>
      <c r="Z287" s="535"/>
      <c r="AA287" s="535"/>
      <c r="AB287" s="535"/>
      <c r="AC287" s="535"/>
      <c r="AD287" s="535">
        <f>CCBASE!$I$36*2</f>
        <v>191.630124</v>
      </c>
    </row>
    <row r="288" spans="1:30" x14ac:dyDescent="0.2">
      <c r="A288" s="533" t="s">
        <v>1103</v>
      </c>
      <c r="B288" s="533">
        <v>2750</v>
      </c>
      <c r="C288" s="533">
        <v>1250</v>
      </c>
      <c r="D288" s="533" t="str">
        <f t="shared" si="10"/>
        <v>CMWF27501250</v>
      </c>
      <c r="E288" s="907">
        <f t="shared" si="11"/>
        <v>2480.9173970250004</v>
      </c>
      <c r="F288" s="534">
        <v>25.5</v>
      </c>
      <c r="G288" s="535">
        <f>F288*CCBASE!$B$51</f>
        <v>918</v>
      </c>
      <c r="H288" s="535">
        <f>CCBASE!$I$12*B288/1000</f>
        <v>329.03897757500005</v>
      </c>
      <c r="I288" s="535"/>
      <c r="J288" s="535"/>
      <c r="K288" s="535"/>
      <c r="L288" s="535">
        <f>CCBASE!$I$13*B288/1000</f>
        <v>658.72855125000001</v>
      </c>
      <c r="M288" s="535"/>
      <c r="N288" s="535">
        <f>CCBASE!$I$7*B288/1000</f>
        <v>86.74127</v>
      </c>
      <c r="O288" s="535">
        <f>CCBASE!$I$45*B288/1000</f>
        <v>27.4175</v>
      </c>
      <c r="P288" s="535"/>
      <c r="Q288" s="535">
        <f>CCBASE!$H$51</f>
        <v>5.16</v>
      </c>
      <c r="R288" s="535">
        <f>CCBASE!$I$4</f>
        <v>8.3986041999999994</v>
      </c>
      <c r="S288" s="535">
        <f>CCBASE!$I$8</f>
        <v>16.25526</v>
      </c>
      <c r="T288" s="535">
        <f>CCBASE!$I$44</f>
        <v>94.69</v>
      </c>
      <c r="U288" s="535">
        <f>CCBASE!$I$47*2</f>
        <v>28.82</v>
      </c>
      <c r="V288" s="535">
        <f>CCBASE!$I$46</f>
        <v>2.44</v>
      </c>
      <c r="W288" s="535">
        <f>CCBASE!$I$40*B288/1000</f>
        <v>113.59711</v>
      </c>
      <c r="X288" s="535"/>
      <c r="Y288" s="535"/>
      <c r="Z288" s="535"/>
      <c r="AA288" s="535"/>
      <c r="AB288" s="535"/>
      <c r="AC288" s="535"/>
      <c r="AD288" s="535">
        <f>CCBASE!$I$36*2</f>
        <v>191.630124</v>
      </c>
    </row>
    <row r="289" spans="1:30" x14ac:dyDescent="0.2">
      <c r="A289" s="533" t="s">
        <v>1103</v>
      </c>
      <c r="B289" s="533">
        <v>3000</v>
      </c>
      <c r="C289" s="533">
        <v>1250</v>
      </c>
      <c r="D289" s="533" t="str">
        <f t="shared" si="10"/>
        <v>CMWF30001250</v>
      </c>
      <c r="E289" s="907">
        <f t="shared" si="11"/>
        <v>2591.4195250999996</v>
      </c>
      <c r="F289" s="534">
        <v>25.5</v>
      </c>
      <c r="G289" s="535">
        <f>F289*CCBASE!$B$51</f>
        <v>918</v>
      </c>
      <c r="H289" s="535">
        <f>CCBASE!$I$12*B289/1000</f>
        <v>358.95161190000005</v>
      </c>
      <c r="I289" s="535"/>
      <c r="J289" s="535"/>
      <c r="K289" s="535"/>
      <c r="L289" s="535">
        <f>CCBASE!$I$13*B289/1000</f>
        <v>718.61296499999992</v>
      </c>
      <c r="M289" s="535"/>
      <c r="N289" s="535">
        <f>CCBASE!$I$7*B289/1000</f>
        <v>94.626840000000016</v>
      </c>
      <c r="O289" s="535">
        <f>CCBASE!$I$45*B289/1000</f>
        <v>29.910000000000004</v>
      </c>
      <c r="P289" s="535"/>
      <c r="Q289" s="535">
        <f>CCBASE!$H$51</f>
        <v>5.16</v>
      </c>
      <c r="R289" s="535">
        <f>CCBASE!$I$4</f>
        <v>8.3986041999999994</v>
      </c>
      <c r="S289" s="535">
        <f>CCBASE!$I$8</f>
        <v>16.25526</v>
      </c>
      <c r="T289" s="535">
        <f>CCBASE!$I$44</f>
        <v>94.69</v>
      </c>
      <c r="U289" s="535">
        <f>CCBASE!$I$47*2</f>
        <v>28.82</v>
      </c>
      <c r="V289" s="535">
        <f>CCBASE!$I$46</f>
        <v>2.44</v>
      </c>
      <c r="W289" s="535">
        <f>CCBASE!$I$40*B289/1000</f>
        <v>123.92412</v>
      </c>
      <c r="X289" s="535"/>
      <c r="Y289" s="535"/>
      <c r="Z289" s="535"/>
      <c r="AA289" s="535"/>
      <c r="AB289" s="535"/>
      <c r="AC289" s="535"/>
      <c r="AD289" s="535">
        <f>CCBASE!$I$36*2</f>
        <v>191.630124</v>
      </c>
    </row>
    <row r="290" spans="1:30" x14ac:dyDescent="0.2">
      <c r="A290" s="533" t="s">
        <v>1103</v>
      </c>
      <c r="B290" s="533">
        <v>1000</v>
      </c>
      <c r="C290" s="533">
        <v>1500</v>
      </c>
      <c r="D290" s="533" t="str">
        <f t="shared" si="10"/>
        <v>CMWF10001500</v>
      </c>
      <c r="E290" s="907">
        <f t="shared" si="11"/>
        <v>1722.0150125</v>
      </c>
      <c r="F290" s="534">
        <v>24.5</v>
      </c>
      <c r="G290" s="535">
        <f>F290*CCBASE!$B$51</f>
        <v>882</v>
      </c>
      <c r="H290" s="535">
        <f>CCBASE!$I$12*B290/1000</f>
        <v>119.65053730000001</v>
      </c>
      <c r="I290" s="535"/>
      <c r="J290" s="535"/>
      <c r="K290" s="535"/>
      <c r="L290" s="535">
        <f>CCBASE!$I$13*B290/1000</f>
        <v>239.537655</v>
      </c>
      <c r="M290" s="535"/>
      <c r="N290" s="535">
        <f>CCBASE!$I$7*B290/1000</f>
        <v>31.542280000000002</v>
      </c>
      <c r="O290" s="535">
        <f>CCBASE!$I$45*B290/1000</f>
        <v>9.9700000000000006</v>
      </c>
      <c r="P290" s="535"/>
      <c r="Q290" s="535">
        <f>CCBASE!$H$51</f>
        <v>5.16</v>
      </c>
      <c r="R290" s="535">
        <f>CCBASE!$I$4</f>
        <v>8.3986041999999994</v>
      </c>
      <c r="S290" s="535">
        <f>CCBASE!$I$8</f>
        <v>16.25526</v>
      </c>
      <c r="T290" s="535">
        <f>CCBASE!$I$44</f>
        <v>94.69</v>
      </c>
      <c r="U290" s="535">
        <f>CCBASE!$I$47</f>
        <v>14.41</v>
      </c>
      <c r="V290" s="535">
        <f>CCBASE!$I$46/2</f>
        <v>1.22</v>
      </c>
      <c r="W290" s="535">
        <f>CCBASE!$I$41*B290/1000</f>
        <v>59.051569999999998</v>
      </c>
      <c r="X290" s="535"/>
      <c r="Y290" s="535"/>
      <c r="Z290" s="535"/>
      <c r="AA290" s="535"/>
      <c r="AB290" s="535"/>
      <c r="AC290" s="535"/>
      <c r="AD290" s="535">
        <f>CCBASE!$I$37*2</f>
        <v>240.12910599999998</v>
      </c>
    </row>
    <row r="291" spans="1:30" x14ac:dyDescent="0.2">
      <c r="A291" s="533" t="s">
        <v>1103</v>
      </c>
      <c r="B291" s="533">
        <v>1250</v>
      </c>
      <c r="C291" s="533">
        <v>1500</v>
      </c>
      <c r="D291" s="533" t="str">
        <f t="shared" si="10"/>
        <v>CMWF12501500</v>
      </c>
      <c r="E291" s="907">
        <f t="shared" si="11"/>
        <v>1851.363023075</v>
      </c>
      <c r="F291" s="534">
        <v>24.5</v>
      </c>
      <c r="G291" s="535">
        <f>F291*CCBASE!$B$51</f>
        <v>882</v>
      </c>
      <c r="H291" s="535">
        <f>CCBASE!$I$12*B291/1000</f>
        <v>149.56317162500002</v>
      </c>
      <c r="I291" s="535"/>
      <c r="J291" s="535"/>
      <c r="K291" s="535"/>
      <c r="L291" s="535">
        <f>CCBASE!$I$13*B291/1000</f>
        <v>299.42206874999999</v>
      </c>
      <c r="M291" s="535"/>
      <c r="N291" s="535">
        <f>CCBASE!$I$7*B291/1000</f>
        <v>39.427849999999999</v>
      </c>
      <c r="O291" s="535">
        <f>CCBASE!$I$45*B291/1000</f>
        <v>12.4625</v>
      </c>
      <c r="P291" s="535"/>
      <c r="Q291" s="535">
        <f>CCBASE!$H$51</f>
        <v>5.16</v>
      </c>
      <c r="R291" s="535">
        <f>CCBASE!$I$4</f>
        <v>8.3986041999999994</v>
      </c>
      <c r="S291" s="535">
        <f>CCBASE!$I$8</f>
        <v>16.25526</v>
      </c>
      <c r="T291" s="535">
        <f>CCBASE!$I$44</f>
        <v>94.69</v>
      </c>
      <c r="U291" s="535">
        <f>CCBASE!$I$47*2</f>
        <v>28.82</v>
      </c>
      <c r="V291" s="535">
        <f>CCBASE!$I$46/2</f>
        <v>1.22</v>
      </c>
      <c r="W291" s="535">
        <f>CCBASE!$I$41*B291/1000</f>
        <v>73.814462499999991</v>
      </c>
      <c r="X291" s="535"/>
      <c r="Y291" s="535"/>
      <c r="Z291" s="535"/>
      <c r="AA291" s="535"/>
      <c r="AB291" s="535"/>
      <c r="AC291" s="535"/>
      <c r="AD291" s="535">
        <f>CCBASE!$I$37*2</f>
        <v>240.12910599999998</v>
      </c>
    </row>
    <row r="292" spans="1:30" x14ac:dyDescent="0.2">
      <c r="A292" s="533" t="s">
        <v>1103</v>
      </c>
      <c r="B292" s="533">
        <v>1500</v>
      </c>
      <c r="C292" s="533">
        <v>1500</v>
      </c>
      <c r="D292" s="533" t="str">
        <f t="shared" si="10"/>
        <v>CMWF15001500</v>
      </c>
      <c r="E292" s="907">
        <f t="shared" si="11"/>
        <v>1966.3010336499997</v>
      </c>
      <c r="F292" s="534">
        <v>24.5</v>
      </c>
      <c r="G292" s="535">
        <f>F292*CCBASE!$B$51</f>
        <v>882</v>
      </c>
      <c r="H292" s="535">
        <f>CCBASE!$I$12*B292/1000</f>
        <v>179.47580595000002</v>
      </c>
      <c r="I292" s="535"/>
      <c r="J292" s="535"/>
      <c r="K292" s="535"/>
      <c r="L292" s="535">
        <f>CCBASE!$I$13*B292/1000</f>
        <v>359.30648249999996</v>
      </c>
      <c r="M292" s="535"/>
      <c r="N292" s="535">
        <f>CCBASE!$I$7*B292/1000</f>
        <v>47.313420000000008</v>
      </c>
      <c r="O292" s="535">
        <f>CCBASE!$I$45*B292/1000</f>
        <v>14.955000000000002</v>
      </c>
      <c r="P292" s="535"/>
      <c r="Q292" s="535">
        <f>CCBASE!$H$51</f>
        <v>5.16</v>
      </c>
      <c r="R292" s="535">
        <f>CCBASE!$I$4</f>
        <v>8.3986041999999994</v>
      </c>
      <c r="S292" s="535">
        <f>CCBASE!$I$8</f>
        <v>16.25526</v>
      </c>
      <c r="T292" s="535">
        <f>CCBASE!$I$44</f>
        <v>94.69</v>
      </c>
      <c r="U292" s="535">
        <f>CCBASE!$I$47*2</f>
        <v>28.82</v>
      </c>
      <c r="V292" s="535">
        <f>CCBASE!$I$46/2</f>
        <v>1.22</v>
      </c>
      <c r="W292" s="535">
        <f>CCBASE!$I$41*B292/1000</f>
        <v>88.577354999999997</v>
      </c>
      <c r="X292" s="535"/>
      <c r="Y292" s="535"/>
      <c r="Z292" s="535"/>
      <c r="AA292" s="535"/>
      <c r="AB292" s="535"/>
      <c r="AC292" s="535"/>
      <c r="AD292" s="535">
        <f>CCBASE!$I$37*2</f>
        <v>240.12910599999998</v>
      </c>
    </row>
    <row r="293" spans="1:30" x14ac:dyDescent="0.2">
      <c r="A293" s="533" t="s">
        <v>1103</v>
      </c>
      <c r="B293" s="533">
        <v>1750</v>
      </c>
      <c r="C293" s="533">
        <v>1500</v>
      </c>
      <c r="D293" s="533" t="str">
        <f t="shared" si="10"/>
        <v>CMWF17501500</v>
      </c>
      <c r="E293" s="907">
        <f t="shared" si="11"/>
        <v>2082.4590442250001</v>
      </c>
      <c r="F293" s="534">
        <v>24.5</v>
      </c>
      <c r="G293" s="535">
        <f>F293*CCBASE!$B$51</f>
        <v>882</v>
      </c>
      <c r="H293" s="535">
        <f>CCBASE!$I$12*B293/1000</f>
        <v>209.38844027500002</v>
      </c>
      <c r="I293" s="535"/>
      <c r="J293" s="535"/>
      <c r="K293" s="535"/>
      <c r="L293" s="535">
        <f>CCBASE!$I$13*B293/1000</f>
        <v>419.19089624999998</v>
      </c>
      <c r="M293" s="535"/>
      <c r="N293" s="535">
        <f>CCBASE!$I$7*B293/1000</f>
        <v>55.198990000000002</v>
      </c>
      <c r="O293" s="535">
        <f>CCBASE!$I$45*B293/1000</f>
        <v>17.447500000000002</v>
      </c>
      <c r="P293" s="535"/>
      <c r="Q293" s="535">
        <f>CCBASE!$H$51</f>
        <v>5.16</v>
      </c>
      <c r="R293" s="535">
        <f>CCBASE!$I$4</f>
        <v>8.3986041999999994</v>
      </c>
      <c r="S293" s="535">
        <f>CCBASE!$I$8</f>
        <v>16.25526</v>
      </c>
      <c r="T293" s="535">
        <f>CCBASE!$I$44</f>
        <v>94.69</v>
      </c>
      <c r="U293" s="535">
        <f>CCBASE!$I$47*2</f>
        <v>28.82</v>
      </c>
      <c r="V293" s="535">
        <f>CCBASE!$I$46</f>
        <v>2.44</v>
      </c>
      <c r="W293" s="535">
        <f>CCBASE!$I$41*B293/1000</f>
        <v>103.3402475</v>
      </c>
      <c r="X293" s="535"/>
      <c r="Y293" s="535"/>
      <c r="Z293" s="535"/>
      <c r="AA293" s="535"/>
      <c r="AB293" s="535"/>
      <c r="AC293" s="535"/>
      <c r="AD293" s="535">
        <f>CCBASE!$I$37*2</f>
        <v>240.12910599999998</v>
      </c>
    </row>
    <row r="294" spans="1:30" x14ac:dyDescent="0.2">
      <c r="A294" s="533" t="s">
        <v>1103</v>
      </c>
      <c r="B294" s="533">
        <v>2000</v>
      </c>
      <c r="C294" s="533">
        <v>1500</v>
      </c>
      <c r="D294" s="533" t="str">
        <f t="shared" si="10"/>
        <v>CMWF20001500</v>
      </c>
      <c r="E294" s="907">
        <f t="shared" si="11"/>
        <v>2197.3970547999998</v>
      </c>
      <c r="F294" s="534">
        <v>24.5</v>
      </c>
      <c r="G294" s="535">
        <f>F294*CCBASE!$B$51</f>
        <v>882</v>
      </c>
      <c r="H294" s="535">
        <f>CCBASE!$I$12*B294/1000</f>
        <v>239.30107460000002</v>
      </c>
      <c r="I294" s="535"/>
      <c r="J294" s="535"/>
      <c r="K294" s="535"/>
      <c r="L294" s="535">
        <f>CCBASE!$I$13*B294/1000</f>
        <v>479.07531</v>
      </c>
      <c r="M294" s="535"/>
      <c r="N294" s="535">
        <f>CCBASE!$I$7*B294/1000</f>
        <v>63.084560000000003</v>
      </c>
      <c r="O294" s="535">
        <f>CCBASE!$I$45*B294/1000</f>
        <v>19.940000000000001</v>
      </c>
      <c r="P294" s="535"/>
      <c r="Q294" s="535">
        <f>CCBASE!$H$51</f>
        <v>5.16</v>
      </c>
      <c r="R294" s="535">
        <f>CCBASE!$I$4</f>
        <v>8.3986041999999994</v>
      </c>
      <c r="S294" s="535">
        <f>CCBASE!$I$8</f>
        <v>16.25526</v>
      </c>
      <c r="T294" s="535">
        <f>CCBASE!$I$44</f>
        <v>94.69</v>
      </c>
      <c r="U294" s="535">
        <f>CCBASE!$I$47*2</f>
        <v>28.82</v>
      </c>
      <c r="V294" s="535">
        <f>CCBASE!$I$46</f>
        <v>2.44</v>
      </c>
      <c r="W294" s="535">
        <f>CCBASE!$I$41*B294/1000</f>
        <v>118.10314</v>
      </c>
      <c r="X294" s="535"/>
      <c r="Y294" s="535"/>
      <c r="Z294" s="535"/>
      <c r="AA294" s="535"/>
      <c r="AB294" s="535"/>
      <c r="AC294" s="535"/>
      <c r="AD294" s="535">
        <f>CCBASE!$I$37*2</f>
        <v>240.12910599999998</v>
      </c>
    </row>
    <row r="295" spans="1:30" x14ac:dyDescent="0.2">
      <c r="A295" s="533" t="s">
        <v>1103</v>
      </c>
      <c r="B295" s="533">
        <v>2250</v>
      </c>
      <c r="C295" s="533">
        <v>1500</v>
      </c>
      <c r="D295" s="533" t="str">
        <f t="shared" si="10"/>
        <v>CMWF22501500</v>
      </c>
      <c r="E295" s="907">
        <f t="shared" si="11"/>
        <v>2348.3350653749994</v>
      </c>
      <c r="F295" s="534">
        <v>25.5</v>
      </c>
      <c r="G295" s="535">
        <f>F295*CCBASE!$B$51</f>
        <v>918</v>
      </c>
      <c r="H295" s="535">
        <f>CCBASE!$I$12*B295/1000</f>
        <v>269.21370892500005</v>
      </c>
      <c r="I295" s="535"/>
      <c r="J295" s="535"/>
      <c r="K295" s="535"/>
      <c r="L295" s="535">
        <f>CCBASE!$I$13*B295/1000</f>
        <v>538.95972374999997</v>
      </c>
      <c r="M295" s="535"/>
      <c r="N295" s="535">
        <f>CCBASE!$I$7*B295/1000</f>
        <v>70.970130000000012</v>
      </c>
      <c r="O295" s="535">
        <f>CCBASE!$I$45*B295/1000</f>
        <v>22.432500000000001</v>
      </c>
      <c r="P295" s="535"/>
      <c r="Q295" s="535">
        <f>CCBASE!$H$51</f>
        <v>5.16</v>
      </c>
      <c r="R295" s="535">
        <f>CCBASE!$I$4</f>
        <v>8.3986041999999994</v>
      </c>
      <c r="S295" s="535">
        <f>CCBASE!$I$8</f>
        <v>16.25526</v>
      </c>
      <c r="T295" s="535">
        <f>CCBASE!$I$44</f>
        <v>94.69</v>
      </c>
      <c r="U295" s="535">
        <f>CCBASE!$I$47*2</f>
        <v>28.82</v>
      </c>
      <c r="V295" s="535">
        <f>CCBASE!$I$46</f>
        <v>2.44</v>
      </c>
      <c r="W295" s="535">
        <f>CCBASE!$I$41*B295/1000</f>
        <v>132.86603249999999</v>
      </c>
      <c r="X295" s="535"/>
      <c r="Y295" s="535"/>
      <c r="Z295" s="535"/>
      <c r="AA295" s="535"/>
      <c r="AB295" s="535"/>
      <c r="AC295" s="535"/>
      <c r="AD295" s="535">
        <f>CCBASE!$I$37*2</f>
        <v>240.12910599999998</v>
      </c>
    </row>
    <row r="296" spans="1:30" x14ac:dyDescent="0.2">
      <c r="A296" s="533" t="s">
        <v>1103</v>
      </c>
      <c r="B296" s="533">
        <v>2500</v>
      </c>
      <c r="C296" s="533">
        <v>1500</v>
      </c>
      <c r="D296" s="533" t="str">
        <f t="shared" si="10"/>
        <v>CMWF25001500</v>
      </c>
      <c r="E296" s="907">
        <f t="shared" si="11"/>
        <v>2463.27307595</v>
      </c>
      <c r="F296" s="534">
        <v>25.5</v>
      </c>
      <c r="G296" s="535">
        <f>F296*CCBASE!$B$51</f>
        <v>918</v>
      </c>
      <c r="H296" s="535">
        <f>CCBASE!$I$12*B296/1000</f>
        <v>299.12634325000005</v>
      </c>
      <c r="I296" s="535"/>
      <c r="J296" s="535"/>
      <c r="K296" s="535"/>
      <c r="L296" s="535">
        <f>CCBASE!$I$13*B296/1000</f>
        <v>598.84413749999999</v>
      </c>
      <c r="M296" s="535"/>
      <c r="N296" s="535">
        <f>CCBASE!$I$7*B296/1000</f>
        <v>78.855699999999999</v>
      </c>
      <c r="O296" s="535">
        <f>CCBASE!$I$45*B296/1000</f>
        <v>24.925000000000001</v>
      </c>
      <c r="P296" s="535"/>
      <c r="Q296" s="535">
        <f>CCBASE!$H$51</f>
        <v>5.16</v>
      </c>
      <c r="R296" s="535">
        <f>CCBASE!$I$4</f>
        <v>8.3986041999999994</v>
      </c>
      <c r="S296" s="535">
        <f>CCBASE!$I$8</f>
        <v>16.25526</v>
      </c>
      <c r="T296" s="535">
        <f>CCBASE!$I$44</f>
        <v>94.69</v>
      </c>
      <c r="U296" s="535">
        <f>CCBASE!$I$47*2</f>
        <v>28.82</v>
      </c>
      <c r="V296" s="535">
        <f>CCBASE!$I$46</f>
        <v>2.44</v>
      </c>
      <c r="W296" s="535">
        <f>CCBASE!$I$41*B296/1000</f>
        <v>147.62892499999998</v>
      </c>
      <c r="X296" s="535"/>
      <c r="Y296" s="535"/>
      <c r="Z296" s="535"/>
      <c r="AA296" s="535"/>
      <c r="AB296" s="535"/>
      <c r="AC296" s="535"/>
      <c r="AD296" s="535">
        <f>CCBASE!$I$37*2</f>
        <v>240.12910599999998</v>
      </c>
    </row>
    <row r="297" spans="1:30" x14ac:dyDescent="0.2">
      <c r="A297" s="533" t="s">
        <v>1103</v>
      </c>
      <c r="B297" s="533">
        <v>2750</v>
      </c>
      <c r="C297" s="533">
        <v>1500</v>
      </c>
      <c r="D297" s="533" t="str">
        <f t="shared" si="10"/>
        <v>CMWF27501500</v>
      </c>
      <c r="E297" s="907">
        <f t="shared" si="11"/>
        <v>2578.2110865250002</v>
      </c>
      <c r="F297" s="534">
        <v>25.5</v>
      </c>
      <c r="G297" s="535">
        <f>F297*CCBASE!$B$51</f>
        <v>918</v>
      </c>
      <c r="H297" s="535">
        <f>CCBASE!$I$12*B297/1000</f>
        <v>329.03897757500005</v>
      </c>
      <c r="I297" s="535"/>
      <c r="J297" s="535"/>
      <c r="K297" s="535"/>
      <c r="L297" s="535">
        <f>CCBASE!$I$13*B297/1000</f>
        <v>658.72855125000001</v>
      </c>
      <c r="M297" s="535"/>
      <c r="N297" s="535">
        <f>CCBASE!$I$7*B297/1000</f>
        <v>86.74127</v>
      </c>
      <c r="O297" s="535">
        <f>CCBASE!$I$45*B297/1000</f>
        <v>27.4175</v>
      </c>
      <c r="P297" s="535"/>
      <c r="Q297" s="535">
        <f>CCBASE!$H$51</f>
        <v>5.16</v>
      </c>
      <c r="R297" s="535">
        <f>CCBASE!$I$4</f>
        <v>8.3986041999999994</v>
      </c>
      <c r="S297" s="535">
        <f>CCBASE!$I$8</f>
        <v>16.25526</v>
      </c>
      <c r="T297" s="535">
        <f>CCBASE!$I$44</f>
        <v>94.69</v>
      </c>
      <c r="U297" s="535">
        <f>CCBASE!$I$47*2</f>
        <v>28.82</v>
      </c>
      <c r="V297" s="535">
        <f>CCBASE!$I$46</f>
        <v>2.44</v>
      </c>
      <c r="W297" s="535">
        <f>CCBASE!$I$41*B297/1000</f>
        <v>162.3918175</v>
      </c>
      <c r="X297" s="535"/>
      <c r="Y297" s="535"/>
      <c r="Z297" s="535"/>
      <c r="AA297" s="535"/>
      <c r="AB297" s="535"/>
      <c r="AC297" s="535"/>
      <c r="AD297" s="535">
        <f>CCBASE!$I$37*2</f>
        <v>240.12910599999998</v>
      </c>
    </row>
    <row r="298" spans="1:30" x14ac:dyDescent="0.2">
      <c r="A298" s="533" t="s">
        <v>1103</v>
      </c>
      <c r="B298" s="533">
        <v>3000</v>
      </c>
      <c r="C298" s="533">
        <v>1500</v>
      </c>
      <c r="D298" s="533" t="str">
        <f t="shared" si="10"/>
        <v>CMWF30001500</v>
      </c>
      <c r="E298" s="907">
        <f t="shared" si="11"/>
        <v>2693.1490970999994</v>
      </c>
      <c r="F298" s="534">
        <v>25.5</v>
      </c>
      <c r="G298" s="535">
        <f>F298*CCBASE!$B$51</f>
        <v>918</v>
      </c>
      <c r="H298" s="535">
        <f>CCBASE!$I$12*B298/1000</f>
        <v>358.95161190000005</v>
      </c>
      <c r="I298" s="535"/>
      <c r="J298" s="535"/>
      <c r="K298" s="535"/>
      <c r="L298" s="535">
        <f>CCBASE!$I$13*B298/1000</f>
        <v>718.61296499999992</v>
      </c>
      <c r="M298" s="535"/>
      <c r="N298" s="535">
        <f>CCBASE!$I$7*B298/1000</f>
        <v>94.626840000000016</v>
      </c>
      <c r="O298" s="535">
        <f>CCBASE!$I$45*B298/1000</f>
        <v>29.910000000000004</v>
      </c>
      <c r="P298" s="535"/>
      <c r="Q298" s="535">
        <f>CCBASE!$H$51</f>
        <v>5.16</v>
      </c>
      <c r="R298" s="535">
        <f>CCBASE!$I$4</f>
        <v>8.3986041999999994</v>
      </c>
      <c r="S298" s="535">
        <f>CCBASE!$I$8</f>
        <v>16.25526</v>
      </c>
      <c r="T298" s="535">
        <f>CCBASE!$I$44</f>
        <v>94.69</v>
      </c>
      <c r="U298" s="535">
        <f>CCBASE!$I$47*2</f>
        <v>28.82</v>
      </c>
      <c r="V298" s="535">
        <f>CCBASE!$I$46</f>
        <v>2.44</v>
      </c>
      <c r="W298" s="535">
        <f>CCBASE!$I$41*B298/1000</f>
        <v>177.15470999999999</v>
      </c>
      <c r="X298" s="535"/>
      <c r="Y298" s="535"/>
      <c r="Z298" s="535"/>
      <c r="AA298" s="535"/>
      <c r="AB298" s="535"/>
      <c r="AC298" s="535"/>
      <c r="AD298" s="535">
        <f>CCBASE!$I$37*2</f>
        <v>240.12910599999998</v>
      </c>
    </row>
    <row r="299" spans="1:30" x14ac:dyDescent="0.2">
      <c r="A299" s="533" t="s">
        <v>1103</v>
      </c>
      <c r="B299" s="533">
        <v>1000</v>
      </c>
      <c r="C299" s="533">
        <v>1750</v>
      </c>
      <c r="D299" s="533" t="str">
        <f t="shared" si="10"/>
        <v>CMWF10001750</v>
      </c>
      <c r="E299" s="907">
        <f t="shared" si="11"/>
        <v>1765.7823865</v>
      </c>
      <c r="F299" s="534">
        <v>24.5</v>
      </c>
      <c r="G299" s="535">
        <f>F299*CCBASE!$B$51</f>
        <v>882</v>
      </c>
      <c r="H299" s="535">
        <f>CCBASE!$I$12*B299/1000</f>
        <v>119.65053730000001</v>
      </c>
      <c r="I299" s="535"/>
      <c r="J299" s="535"/>
      <c r="K299" s="535"/>
      <c r="L299" s="535">
        <f>CCBASE!$I$13*B299/1000</f>
        <v>239.537655</v>
      </c>
      <c r="M299" s="535"/>
      <c r="N299" s="535">
        <f>CCBASE!$I$7*B299/1000</f>
        <v>31.542280000000002</v>
      </c>
      <c r="O299" s="535">
        <f>CCBASE!$I$45*B299/1000</f>
        <v>9.9700000000000006</v>
      </c>
      <c r="P299" s="535"/>
      <c r="Q299" s="535">
        <f>CCBASE!$H$51</f>
        <v>5.16</v>
      </c>
      <c r="R299" s="535">
        <f>CCBASE!$I$4</f>
        <v>8.3986041999999994</v>
      </c>
      <c r="S299" s="535">
        <f>CCBASE!$I$8</f>
        <v>16.25526</v>
      </c>
      <c r="T299" s="535">
        <f>CCBASE!$I$44</f>
        <v>94.69</v>
      </c>
      <c r="U299" s="535">
        <f>CCBASE!$I$47</f>
        <v>14.41</v>
      </c>
      <c r="V299" s="535">
        <f>CCBASE!$I$46/2</f>
        <v>1.22</v>
      </c>
      <c r="W299" s="535">
        <f>CCBASE!$I$42*B299/1000</f>
        <v>70.880589999999998</v>
      </c>
      <c r="X299" s="535"/>
      <c r="Y299" s="535"/>
      <c r="Z299" s="535"/>
      <c r="AA299" s="535"/>
      <c r="AB299" s="535"/>
      <c r="AC299" s="535"/>
      <c r="AD299" s="535">
        <f>CCBASE!$I$38*2</f>
        <v>272.06745999999998</v>
      </c>
    </row>
    <row r="300" spans="1:30" x14ac:dyDescent="0.2">
      <c r="A300" s="533" t="s">
        <v>1103</v>
      </c>
      <c r="B300" s="533">
        <v>1250</v>
      </c>
      <c r="C300" s="533">
        <v>1750</v>
      </c>
      <c r="D300" s="533" t="str">
        <f t="shared" si="10"/>
        <v>CMWF12501750</v>
      </c>
      <c r="E300" s="907">
        <f t="shared" si="11"/>
        <v>1898.0876520750001</v>
      </c>
      <c r="F300" s="534">
        <v>24.5</v>
      </c>
      <c r="G300" s="535">
        <f>F300*CCBASE!$B$51</f>
        <v>882</v>
      </c>
      <c r="H300" s="535">
        <f>CCBASE!$I$12*B300/1000</f>
        <v>149.56317162500002</v>
      </c>
      <c r="I300" s="535"/>
      <c r="J300" s="535"/>
      <c r="K300" s="535"/>
      <c r="L300" s="535">
        <f>CCBASE!$I$13*B300/1000</f>
        <v>299.42206874999999</v>
      </c>
      <c r="M300" s="535"/>
      <c r="N300" s="535">
        <f>CCBASE!$I$7*B300/1000</f>
        <v>39.427849999999999</v>
      </c>
      <c r="O300" s="535">
        <f>CCBASE!$I$45*B300/1000</f>
        <v>12.4625</v>
      </c>
      <c r="P300" s="535"/>
      <c r="Q300" s="535">
        <f>CCBASE!$H$51</f>
        <v>5.16</v>
      </c>
      <c r="R300" s="535">
        <f>CCBASE!$I$4</f>
        <v>8.3986041999999994</v>
      </c>
      <c r="S300" s="535">
        <f>CCBASE!$I$8</f>
        <v>16.25526</v>
      </c>
      <c r="T300" s="535">
        <f>CCBASE!$I$44</f>
        <v>94.69</v>
      </c>
      <c r="U300" s="535">
        <f>CCBASE!$I$47*2</f>
        <v>28.82</v>
      </c>
      <c r="V300" s="535">
        <f>CCBASE!$I$46/2</f>
        <v>1.22</v>
      </c>
      <c r="W300" s="535">
        <f>CCBASE!$I$42*B300/1000</f>
        <v>88.600737500000008</v>
      </c>
      <c r="X300" s="535"/>
      <c r="Y300" s="535"/>
      <c r="Z300" s="535"/>
      <c r="AA300" s="535"/>
      <c r="AB300" s="535"/>
      <c r="AC300" s="535"/>
      <c r="AD300" s="535">
        <f>CCBASE!$I$38*2</f>
        <v>272.06745999999998</v>
      </c>
    </row>
    <row r="301" spans="1:30" x14ac:dyDescent="0.2">
      <c r="A301" s="533" t="s">
        <v>1103</v>
      </c>
      <c r="B301" s="533">
        <v>1500</v>
      </c>
      <c r="C301" s="533">
        <v>1750</v>
      </c>
      <c r="D301" s="533" t="str">
        <f t="shared" si="10"/>
        <v>CMWF15001750</v>
      </c>
      <c r="E301" s="907">
        <f t="shared" si="11"/>
        <v>2015.9829176499998</v>
      </c>
      <c r="F301" s="534">
        <v>24.5</v>
      </c>
      <c r="G301" s="535">
        <f>F301*CCBASE!$B$51</f>
        <v>882</v>
      </c>
      <c r="H301" s="535">
        <f>CCBASE!$I$12*B301/1000</f>
        <v>179.47580595000002</v>
      </c>
      <c r="I301" s="535"/>
      <c r="J301" s="535"/>
      <c r="K301" s="535"/>
      <c r="L301" s="535">
        <f>CCBASE!$I$13*B301/1000</f>
        <v>359.30648249999996</v>
      </c>
      <c r="M301" s="535"/>
      <c r="N301" s="535">
        <f>CCBASE!$I$7*B301/1000</f>
        <v>47.313420000000008</v>
      </c>
      <c r="O301" s="535">
        <f>CCBASE!$I$45*B301/1000</f>
        <v>14.955000000000002</v>
      </c>
      <c r="P301" s="535"/>
      <c r="Q301" s="535">
        <f>CCBASE!$H$51</f>
        <v>5.16</v>
      </c>
      <c r="R301" s="535">
        <f>CCBASE!$I$4</f>
        <v>8.3986041999999994</v>
      </c>
      <c r="S301" s="535">
        <f>CCBASE!$I$8</f>
        <v>16.25526</v>
      </c>
      <c r="T301" s="535">
        <f>CCBASE!$I$44</f>
        <v>94.69</v>
      </c>
      <c r="U301" s="535">
        <f>CCBASE!$I$47*2</f>
        <v>28.82</v>
      </c>
      <c r="V301" s="535">
        <f>CCBASE!$I$46/2</f>
        <v>1.22</v>
      </c>
      <c r="W301" s="535">
        <f>CCBASE!$I$42*B301/1000</f>
        <v>106.32088499999999</v>
      </c>
      <c r="X301" s="535"/>
      <c r="Y301" s="535"/>
      <c r="Z301" s="535"/>
      <c r="AA301" s="535"/>
      <c r="AB301" s="535"/>
      <c r="AC301" s="535"/>
      <c r="AD301" s="535">
        <f>CCBASE!$I$38*2</f>
        <v>272.06745999999998</v>
      </c>
    </row>
    <row r="302" spans="1:30" x14ac:dyDescent="0.2">
      <c r="A302" s="533" t="s">
        <v>1103</v>
      </c>
      <c r="B302" s="533">
        <v>1750</v>
      </c>
      <c r="C302" s="533">
        <v>1750</v>
      </c>
      <c r="D302" s="533" t="str">
        <f t="shared" si="10"/>
        <v>CMWF17501750</v>
      </c>
      <c r="E302" s="907">
        <f t="shared" si="11"/>
        <v>2135.098183225</v>
      </c>
      <c r="F302" s="534">
        <v>24.5</v>
      </c>
      <c r="G302" s="535">
        <f>F302*CCBASE!$B$51</f>
        <v>882</v>
      </c>
      <c r="H302" s="535">
        <f>CCBASE!$I$12*B302/1000</f>
        <v>209.38844027500002</v>
      </c>
      <c r="I302" s="535"/>
      <c r="J302" s="535"/>
      <c r="K302" s="535"/>
      <c r="L302" s="535">
        <f>CCBASE!$I$13*B302/1000</f>
        <v>419.19089624999998</v>
      </c>
      <c r="M302" s="535"/>
      <c r="N302" s="535">
        <f>CCBASE!$I$7*B302/1000</f>
        <v>55.198990000000002</v>
      </c>
      <c r="O302" s="535">
        <f>CCBASE!$I$45*B302/1000</f>
        <v>17.447500000000002</v>
      </c>
      <c r="P302" s="535"/>
      <c r="Q302" s="535">
        <f>CCBASE!$H$51</f>
        <v>5.16</v>
      </c>
      <c r="R302" s="535">
        <f>CCBASE!$I$4</f>
        <v>8.3986041999999994</v>
      </c>
      <c r="S302" s="535">
        <f>CCBASE!$I$8</f>
        <v>16.25526</v>
      </c>
      <c r="T302" s="535">
        <f>CCBASE!$I$44</f>
        <v>94.69</v>
      </c>
      <c r="U302" s="535">
        <f>CCBASE!$I$47*2</f>
        <v>28.82</v>
      </c>
      <c r="V302" s="535">
        <f>CCBASE!$I$46</f>
        <v>2.44</v>
      </c>
      <c r="W302" s="535">
        <f>CCBASE!$I$42*B302/1000</f>
        <v>124.0410325</v>
      </c>
      <c r="X302" s="535"/>
      <c r="Y302" s="535"/>
      <c r="Z302" s="535"/>
      <c r="AA302" s="535"/>
      <c r="AB302" s="535"/>
      <c r="AC302" s="535"/>
      <c r="AD302" s="535">
        <f>CCBASE!$I$38*2</f>
        <v>272.06745999999998</v>
      </c>
    </row>
    <row r="303" spans="1:30" x14ac:dyDescent="0.2">
      <c r="A303" s="533" t="s">
        <v>1103</v>
      </c>
      <c r="B303" s="533">
        <v>2000</v>
      </c>
      <c r="C303" s="533">
        <v>1750</v>
      </c>
      <c r="D303" s="533" t="str">
        <f t="shared" si="10"/>
        <v>CMWF20001750</v>
      </c>
      <c r="E303" s="907">
        <f t="shared" si="11"/>
        <v>2252.9934487999999</v>
      </c>
      <c r="F303" s="534">
        <v>24.5</v>
      </c>
      <c r="G303" s="535">
        <f>F303*CCBASE!$B$51</f>
        <v>882</v>
      </c>
      <c r="H303" s="535">
        <f>CCBASE!$I$12*B303/1000</f>
        <v>239.30107460000002</v>
      </c>
      <c r="I303" s="535"/>
      <c r="J303" s="535"/>
      <c r="K303" s="535"/>
      <c r="L303" s="535">
        <f>CCBASE!$I$13*B303/1000</f>
        <v>479.07531</v>
      </c>
      <c r="M303" s="535"/>
      <c r="N303" s="535">
        <f>CCBASE!$I$7*B303/1000</f>
        <v>63.084560000000003</v>
      </c>
      <c r="O303" s="535">
        <f>CCBASE!$I$45*B303/1000</f>
        <v>19.940000000000001</v>
      </c>
      <c r="P303" s="535"/>
      <c r="Q303" s="535">
        <f>CCBASE!$H$51</f>
        <v>5.16</v>
      </c>
      <c r="R303" s="535">
        <f>CCBASE!$I$4</f>
        <v>8.3986041999999994</v>
      </c>
      <c r="S303" s="535">
        <f>CCBASE!$I$8</f>
        <v>16.25526</v>
      </c>
      <c r="T303" s="535">
        <f>CCBASE!$I$44</f>
        <v>94.69</v>
      </c>
      <c r="U303" s="535">
        <f>CCBASE!$I$47*2</f>
        <v>28.82</v>
      </c>
      <c r="V303" s="535">
        <f>CCBASE!$I$46</f>
        <v>2.44</v>
      </c>
      <c r="W303" s="535">
        <f>CCBASE!$I$42*B303/1000</f>
        <v>141.76118</v>
      </c>
      <c r="X303" s="535"/>
      <c r="Y303" s="535"/>
      <c r="Z303" s="535"/>
      <c r="AA303" s="535"/>
      <c r="AB303" s="535"/>
      <c r="AC303" s="535"/>
      <c r="AD303" s="535">
        <f>CCBASE!$I$38*2</f>
        <v>272.06745999999998</v>
      </c>
    </row>
    <row r="304" spans="1:30" x14ac:dyDescent="0.2">
      <c r="A304" s="533" t="s">
        <v>1103</v>
      </c>
      <c r="B304" s="533">
        <v>2250</v>
      </c>
      <c r="C304" s="533">
        <v>1750</v>
      </c>
      <c r="D304" s="533" t="str">
        <f t="shared" si="10"/>
        <v>CMWF22501750</v>
      </c>
      <c r="E304" s="907">
        <f t="shared" si="11"/>
        <v>2406.8887143749998</v>
      </c>
      <c r="F304" s="534">
        <v>25.5</v>
      </c>
      <c r="G304" s="535">
        <f>F304*CCBASE!$B$51</f>
        <v>918</v>
      </c>
      <c r="H304" s="535">
        <f>CCBASE!$I$12*B304/1000</f>
        <v>269.21370892500005</v>
      </c>
      <c r="I304" s="535"/>
      <c r="J304" s="535"/>
      <c r="K304" s="535"/>
      <c r="L304" s="535">
        <f>CCBASE!$I$13*B304/1000</f>
        <v>538.95972374999997</v>
      </c>
      <c r="M304" s="535"/>
      <c r="N304" s="535">
        <f>CCBASE!$I$7*B304/1000</f>
        <v>70.970130000000012</v>
      </c>
      <c r="O304" s="535">
        <f>CCBASE!$I$45*B304/1000</f>
        <v>22.432500000000001</v>
      </c>
      <c r="P304" s="535"/>
      <c r="Q304" s="535">
        <f>CCBASE!$H$51</f>
        <v>5.16</v>
      </c>
      <c r="R304" s="535">
        <f>CCBASE!$I$4</f>
        <v>8.3986041999999994</v>
      </c>
      <c r="S304" s="535">
        <f>CCBASE!$I$8</f>
        <v>16.25526</v>
      </c>
      <c r="T304" s="535">
        <f>CCBASE!$I$44</f>
        <v>94.69</v>
      </c>
      <c r="U304" s="535">
        <f>CCBASE!$I$47*2</f>
        <v>28.82</v>
      </c>
      <c r="V304" s="535">
        <f>CCBASE!$I$46</f>
        <v>2.44</v>
      </c>
      <c r="W304" s="535">
        <f>CCBASE!$I$42*B304/1000</f>
        <v>159.48132749999999</v>
      </c>
      <c r="X304" s="535"/>
      <c r="Y304" s="535"/>
      <c r="Z304" s="535"/>
      <c r="AA304" s="535"/>
      <c r="AB304" s="535"/>
      <c r="AC304" s="535"/>
      <c r="AD304" s="535">
        <f>CCBASE!$I$38*2</f>
        <v>272.06745999999998</v>
      </c>
    </row>
    <row r="305" spans="1:30" x14ac:dyDescent="0.2">
      <c r="A305" s="533" t="s">
        <v>1103</v>
      </c>
      <c r="B305" s="533">
        <v>2500</v>
      </c>
      <c r="C305" s="533">
        <v>1750</v>
      </c>
      <c r="D305" s="533" t="str">
        <f t="shared" si="10"/>
        <v>CMWF25001750</v>
      </c>
      <c r="E305" s="907">
        <f t="shared" si="11"/>
        <v>2524.7839799499998</v>
      </c>
      <c r="F305" s="534">
        <v>25.5</v>
      </c>
      <c r="G305" s="535">
        <f>F305*CCBASE!$B$51</f>
        <v>918</v>
      </c>
      <c r="H305" s="535">
        <f>CCBASE!$I$12*B305/1000</f>
        <v>299.12634325000005</v>
      </c>
      <c r="I305" s="535"/>
      <c r="J305" s="535"/>
      <c r="K305" s="535"/>
      <c r="L305" s="535">
        <f>CCBASE!$I$13*B305/1000</f>
        <v>598.84413749999999</v>
      </c>
      <c r="M305" s="535"/>
      <c r="N305" s="535">
        <f>CCBASE!$I$7*B305/1000</f>
        <v>78.855699999999999</v>
      </c>
      <c r="O305" s="535">
        <f>CCBASE!$I$45*B305/1000</f>
        <v>24.925000000000001</v>
      </c>
      <c r="P305" s="535"/>
      <c r="Q305" s="535">
        <f>CCBASE!$H$51</f>
        <v>5.16</v>
      </c>
      <c r="R305" s="535">
        <f>CCBASE!$I$4</f>
        <v>8.3986041999999994</v>
      </c>
      <c r="S305" s="535">
        <f>CCBASE!$I$8</f>
        <v>16.25526</v>
      </c>
      <c r="T305" s="535">
        <f>CCBASE!$I$44</f>
        <v>94.69</v>
      </c>
      <c r="U305" s="535">
        <f>CCBASE!$I$47*2</f>
        <v>28.82</v>
      </c>
      <c r="V305" s="535">
        <f>CCBASE!$I$46</f>
        <v>2.44</v>
      </c>
      <c r="W305" s="535">
        <f>CCBASE!$I$42*B305/1000</f>
        <v>177.20147500000002</v>
      </c>
      <c r="X305" s="535"/>
      <c r="Y305" s="535"/>
      <c r="Z305" s="535"/>
      <c r="AA305" s="535"/>
      <c r="AB305" s="535"/>
      <c r="AC305" s="535"/>
      <c r="AD305" s="535">
        <f>CCBASE!$I$38*2</f>
        <v>272.06745999999998</v>
      </c>
    </row>
    <row r="306" spans="1:30" x14ac:dyDescent="0.2">
      <c r="A306" s="533" t="s">
        <v>1103</v>
      </c>
      <c r="B306" s="533">
        <v>2750</v>
      </c>
      <c r="C306" s="533">
        <v>1750</v>
      </c>
      <c r="D306" s="533" t="str">
        <f t="shared" si="10"/>
        <v>CMWF27501750</v>
      </c>
      <c r="E306" s="907">
        <f t="shared" si="11"/>
        <v>2642.6792455250006</v>
      </c>
      <c r="F306" s="534">
        <v>25.5</v>
      </c>
      <c r="G306" s="535">
        <f>F306*CCBASE!$B$51</f>
        <v>918</v>
      </c>
      <c r="H306" s="535">
        <f>CCBASE!$I$12*B306/1000</f>
        <v>329.03897757500005</v>
      </c>
      <c r="I306" s="535"/>
      <c r="J306" s="535"/>
      <c r="K306" s="535"/>
      <c r="L306" s="535">
        <f>CCBASE!$I$13*B306/1000</f>
        <v>658.72855125000001</v>
      </c>
      <c r="M306" s="535"/>
      <c r="N306" s="535">
        <f>CCBASE!$I$7*B306/1000</f>
        <v>86.74127</v>
      </c>
      <c r="O306" s="535">
        <f>CCBASE!$I$45*B306/1000</f>
        <v>27.4175</v>
      </c>
      <c r="P306" s="535"/>
      <c r="Q306" s="535">
        <f>CCBASE!$H$51</f>
        <v>5.16</v>
      </c>
      <c r="R306" s="535">
        <f>CCBASE!$I$4</f>
        <v>8.3986041999999994</v>
      </c>
      <c r="S306" s="535">
        <f>CCBASE!$I$8</f>
        <v>16.25526</v>
      </c>
      <c r="T306" s="535">
        <f>CCBASE!$I$44</f>
        <v>94.69</v>
      </c>
      <c r="U306" s="535">
        <f>CCBASE!$I$47*2</f>
        <v>28.82</v>
      </c>
      <c r="V306" s="535">
        <f>CCBASE!$I$46</f>
        <v>2.44</v>
      </c>
      <c r="W306" s="535">
        <f>CCBASE!$I$42*B306/1000</f>
        <v>194.92162249999998</v>
      </c>
      <c r="X306" s="535"/>
      <c r="Y306" s="535"/>
      <c r="Z306" s="535"/>
      <c r="AA306" s="535"/>
      <c r="AB306" s="535"/>
      <c r="AC306" s="535"/>
      <c r="AD306" s="535">
        <f>CCBASE!$I$38*2</f>
        <v>272.06745999999998</v>
      </c>
    </row>
    <row r="307" spans="1:30" x14ac:dyDescent="0.2">
      <c r="A307" s="533" t="s">
        <v>1103</v>
      </c>
      <c r="B307" s="533">
        <v>3000</v>
      </c>
      <c r="C307" s="533">
        <v>1750</v>
      </c>
      <c r="D307" s="533" t="str">
        <f t="shared" si="10"/>
        <v>CMWF30001750</v>
      </c>
      <c r="E307" s="907">
        <f t="shared" si="11"/>
        <v>2760.5745110999997</v>
      </c>
      <c r="F307" s="534">
        <v>25.5</v>
      </c>
      <c r="G307" s="535">
        <f>F307*CCBASE!$B$51</f>
        <v>918</v>
      </c>
      <c r="H307" s="535">
        <f>CCBASE!$I$12*B307/1000</f>
        <v>358.95161190000005</v>
      </c>
      <c r="I307" s="535"/>
      <c r="J307" s="535"/>
      <c r="K307" s="535"/>
      <c r="L307" s="535">
        <f>CCBASE!$I$13*B307/1000</f>
        <v>718.61296499999992</v>
      </c>
      <c r="M307" s="535"/>
      <c r="N307" s="535">
        <f>CCBASE!$I$7*B307/1000</f>
        <v>94.626840000000016</v>
      </c>
      <c r="O307" s="535">
        <f>CCBASE!$I$45*B307/1000</f>
        <v>29.910000000000004</v>
      </c>
      <c r="P307" s="535"/>
      <c r="Q307" s="535">
        <f>CCBASE!$H$51</f>
        <v>5.16</v>
      </c>
      <c r="R307" s="535">
        <f>CCBASE!$I$4</f>
        <v>8.3986041999999994</v>
      </c>
      <c r="S307" s="535">
        <f>CCBASE!$I$8</f>
        <v>16.25526</v>
      </c>
      <c r="T307" s="535">
        <f>CCBASE!$I$44</f>
        <v>94.69</v>
      </c>
      <c r="U307" s="535">
        <f>CCBASE!$I$47*2</f>
        <v>28.82</v>
      </c>
      <c r="V307" s="535">
        <f>CCBASE!$I$46</f>
        <v>2.44</v>
      </c>
      <c r="W307" s="535">
        <f>CCBASE!$I$42*B307/1000</f>
        <v>212.64176999999998</v>
      </c>
      <c r="X307" s="535"/>
      <c r="Y307" s="535"/>
      <c r="Z307" s="535"/>
      <c r="AA307" s="535"/>
      <c r="AB307" s="535"/>
      <c r="AC307" s="535"/>
      <c r="AD307" s="535">
        <f>CCBASE!$I$38*2</f>
        <v>272.06745999999998</v>
      </c>
    </row>
    <row r="308" spans="1:30" x14ac:dyDescent="0.2">
      <c r="A308" s="533" t="s">
        <v>1103</v>
      </c>
      <c r="B308" s="533">
        <v>1000</v>
      </c>
      <c r="C308" s="533">
        <v>2000</v>
      </c>
      <c r="D308" s="533" t="str">
        <f t="shared" si="10"/>
        <v>CMWF10002000</v>
      </c>
      <c r="E308" s="907">
        <f t="shared" si="11"/>
        <v>1783.5259165</v>
      </c>
      <c r="F308" s="534">
        <v>24.5</v>
      </c>
      <c r="G308" s="535">
        <f>F308*CCBASE!$B$51</f>
        <v>882</v>
      </c>
      <c r="H308" s="535">
        <f>CCBASE!$I$12*B308/1000</f>
        <v>119.65053730000001</v>
      </c>
      <c r="I308" s="535"/>
      <c r="J308" s="535"/>
      <c r="K308" s="535"/>
      <c r="L308" s="535">
        <f>CCBASE!$I$13*B308/1000</f>
        <v>239.537655</v>
      </c>
      <c r="M308" s="535"/>
      <c r="N308" s="535">
        <f>CCBASE!$I$7*B308/1000</f>
        <v>31.542280000000002</v>
      </c>
      <c r="O308" s="535">
        <f>CCBASE!$I$45*B308/1000</f>
        <v>9.9700000000000006</v>
      </c>
      <c r="P308" s="535"/>
      <c r="Q308" s="535">
        <f>CCBASE!$H$51</f>
        <v>5.16</v>
      </c>
      <c r="R308" s="535">
        <f>CCBASE!$I$4</f>
        <v>8.3986041999999994</v>
      </c>
      <c r="S308" s="535">
        <f>CCBASE!$I$8</f>
        <v>16.25526</v>
      </c>
      <c r="T308" s="535">
        <f>CCBASE!$I$44</f>
        <v>94.69</v>
      </c>
      <c r="U308" s="535">
        <f>CCBASE!$I$47</f>
        <v>14.41</v>
      </c>
      <c r="V308" s="535">
        <f>CCBASE!$I$46/2</f>
        <v>1.22</v>
      </c>
      <c r="W308" s="535">
        <f>CCBASE!$I$43*B308/1000</f>
        <v>88.624119999999991</v>
      </c>
      <c r="X308" s="535"/>
      <c r="Y308" s="535"/>
      <c r="Z308" s="535"/>
      <c r="AA308" s="535"/>
      <c r="AB308" s="535"/>
      <c r="AC308" s="535"/>
      <c r="AD308" s="535">
        <f>CCBASE!$I$38*2</f>
        <v>272.06745999999998</v>
      </c>
    </row>
    <row r="309" spans="1:30" x14ac:dyDescent="0.2">
      <c r="A309" s="533" t="s">
        <v>1103</v>
      </c>
      <c r="B309" s="533">
        <v>1250</v>
      </c>
      <c r="C309" s="533">
        <v>2000</v>
      </c>
      <c r="D309" s="533" t="str">
        <f t="shared" si="10"/>
        <v>CMWF12502000</v>
      </c>
      <c r="E309" s="907">
        <f t="shared" si="11"/>
        <v>1920.2670645750002</v>
      </c>
      <c r="F309" s="534">
        <v>24.5</v>
      </c>
      <c r="G309" s="535">
        <f>F309*CCBASE!$B$51</f>
        <v>882</v>
      </c>
      <c r="H309" s="535">
        <f>CCBASE!$I$12*B309/1000</f>
        <v>149.56317162500002</v>
      </c>
      <c r="I309" s="535"/>
      <c r="J309" s="535"/>
      <c r="K309" s="535"/>
      <c r="L309" s="535">
        <f>CCBASE!$I$13*B309/1000</f>
        <v>299.42206874999999</v>
      </c>
      <c r="M309" s="535"/>
      <c r="N309" s="535">
        <f>CCBASE!$I$7*B309/1000</f>
        <v>39.427849999999999</v>
      </c>
      <c r="O309" s="535">
        <f>CCBASE!$I$45*B309/1000</f>
        <v>12.4625</v>
      </c>
      <c r="P309" s="535"/>
      <c r="Q309" s="535">
        <f>CCBASE!$H$51</f>
        <v>5.16</v>
      </c>
      <c r="R309" s="535">
        <f>CCBASE!$I$4</f>
        <v>8.3986041999999994</v>
      </c>
      <c r="S309" s="535">
        <f>CCBASE!$I$8</f>
        <v>16.25526</v>
      </c>
      <c r="T309" s="535">
        <f>CCBASE!$I$44</f>
        <v>94.69</v>
      </c>
      <c r="U309" s="535">
        <f>CCBASE!$I$47*2</f>
        <v>28.82</v>
      </c>
      <c r="V309" s="535">
        <f>CCBASE!$I$46/2</f>
        <v>1.22</v>
      </c>
      <c r="W309" s="535">
        <f>CCBASE!$I$43*B309/1000</f>
        <v>110.78014999999999</v>
      </c>
      <c r="X309" s="535"/>
      <c r="Y309" s="535"/>
      <c r="Z309" s="535"/>
      <c r="AA309" s="535"/>
      <c r="AB309" s="535"/>
      <c r="AC309" s="535"/>
      <c r="AD309" s="535">
        <f>CCBASE!$I$38*2</f>
        <v>272.06745999999998</v>
      </c>
    </row>
    <row r="310" spans="1:30" x14ac:dyDescent="0.2">
      <c r="A310" s="533" t="s">
        <v>1103</v>
      </c>
      <c r="B310" s="533">
        <v>1500</v>
      </c>
      <c r="C310" s="533">
        <v>2000</v>
      </c>
      <c r="D310" s="533" t="str">
        <f t="shared" ref="D310:D373" si="12">A310&amp;B310&amp;C310</f>
        <v>CMWF15002000</v>
      </c>
      <c r="E310" s="907">
        <f t="shared" si="11"/>
        <v>2042.5982126499996</v>
      </c>
      <c r="F310" s="534">
        <v>24.5</v>
      </c>
      <c r="G310" s="535">
        <f>F310*CCBASE!$B$51</f>
        <v>882</v>
      </c>
      <c r="H310" s="535">
        <f>CCBASE!$I$12*B310/1000</f>
        <v>179.47580595000002</v>
      </c>
      <c r="I310" s="535"/>
      <c r="J310" s="535"/>
      <c r="K310" s="535"/>
      <c r="L310" s="535">
        <f>CCBASE!$I$13*B310/1000</f>
        <v>359.30648249999996</v>
      </c>
      <c r="M310" s="535"/>
      <c r="N310" s="535">
        <f>CCBASE!$I$7*B310/1000</f>
        <v>47.313420000000008</v>
      </c>
      <c r="O310" s="535">
        <f>CCBASE!$I$45*B310/1000</f>
        <v>14.955000000000002</v>
      </c>
      <c r="P310" s="535"/>
      <c r="Q310" s="535">
        <f>CCBASE!$H$51</f>
        <v>5.16</v>
      </c>
      <c r="R310" s="535">
        <f>CCBASE!$I$4</f>
        <v>8.3986041999999994</v>
      </c>
      <c r="S310" s="535">
        <f>CCBASE!$I$8</f>
        <v>16.25526</v>
      </c>
      <c r="T310" s="535">
        <f>CCBASE!$I$44</f>
        <v>94.69</v>
      </c>
      <c r="U310" s="535">
        <f>CCBASE!$I$47*2</f>
        <v>28.82</v>
      </c>
      <c r="V310" s="535">
        <f>CCBASE!$I$46/2</f>
        <v>1.22</v>
      </c>
      <c r="W310" s="535">
        <f>CCBASE!$I$43*B310/1000</f>
        <v>132.93617999999998</v>
      </c>
      <c r="X310" s="535"/>
      <c r="Y310" s="535"/>
      <c r="Z310" s="535"/>
      <c r="AA310" s="535"/>
      <c r="AB310" s="535"/>
      <c r="AC310" s="535"/>
      <c r="AD310" s="535">
        <f>CCBASE!$I$38*2</f>
        <v>272.06745999999998</v>
      </c>
    </row>
    <row r="311" spans="1:30" x14ac:dyDescent="0.2">
      <c r="A311" s="533" t="s">
        <v>1103</v>
      </c>
      <c r="B311" s="533">
        <v>1750</v>
      </c>
      <c r="C311" s="533">
        <v>2000</v>
      </c>
      <c r="D311" s="533" t="str">
        <f t="shared" si="12"/>
        <v>CMWF17502000</v>
      </c>
      <c r="E311" s="907">
        <f t="shared" si="11"/>
        <v>2166.149360725</v>
      </c>
      <c r="F311" s="534">
        <v>24.5</v>
      </c>
      <c r="G311" s="535">
        <f>F311*CCBASE!$B$51</f>
        <v>882</v>
      </c>
      <c r="H311" s="535">
        <f>CCBASE!$I$12*B311/1000</f>
        <v>209.38844027500002</v>
      </c>
      <c r="I311" s="535"/>
      <c r="J311" s="535"/>
      <c r="K311" s="535"/>
      <c r="L311" s="535">
        <f>CCBASE!$I$13*B311/1000</f>
        <v>419.19089624999998</v>
      </c>
      <c r="M311" s="535"/>
      <c r="N311" s="535">
        <f>CCBASE!$I$7*B311/1000</f>
        <v>55.198990000000002</v>
      </c>
      <c r="O311" s="535">
        <f>CCBASE!$I$45*B311/1000</f>
        <v>17.447500000000002</v>
      </c>
      <c r="P311" s="535"/>
      <c r="Q311" s="535">
        <f>CCBASE!$H$51</f>
        <v>5.16</v>
      </c>
      <c r="R311" s="535">
        <f>CCBASE!$I$4</f>
        <v>8.3986041999999994</v>
      </c>
      <c r="S311" s="535">
        <f>CCBASE!$I$8</f>
        <v>16.25526</v>
      </c>
      <c r="T311" s="535">
        <f>CCBASE!$I$44</f>
        <v>94.69</v>
      </c>
      <c r="U311" s="535">
        <f>CCBASE!$I$47*2</f>
        <v>28.82</v>
      </c>
      <c r="V311" s="535">
        <f>CCBASE!$I$46</f>
        <v>2.44</v>
      </c>
      <c r="W311" s="535">
        <f>CCBASE!$I$43*B311/1000</f>
        <v>155.09220999999999</v>
      </c>
      <c r="X311" s="535"/>
      <c r="Y311" s="535"/>
      <c r="Z311" s="535"/>
      <c r="AA311" s="535"/>
      <c r="AB311" s="535"/>
      <c r="AC311" s="535"/>
      <c r="AD311" s="535">
        <f>CCBASE!$I$38*2</f>
        <v>272.06745999999998</v>
      </c>
    </row>
    <row r="312" spans="1:30" x14ac:dyDescent="0.2">
      <c r="A312" s="533" t="s">
        <v>1103</v>
      </c>
      <c r="B312" s="533">
        <v>2000</v>
      </c>
      <c r="C312" s="533">
        <v>2000</v>
      </c>
      <c r="D312" s="533" t="str">
        <f t="shared" si="12"/>
        <v>CMWF20002000</v>
      </c>
      <c r="E312" s="907">
        <f t="shared" si="11"/>
        <v>2288.4805087999998</v>
      </c>
      <c r="F312" s="534">
        <v>24.5</v>
      </c>
      <c r="G312" s="535">
        <f>F312*CCBASE!$B$51</f>
        <v>882</v>
      </c>
      <c r="H312" s="535">
        <f>CCBASE!$I$12*B312/1000</f>
        <v>239.30107460000002</v>
      </c>
      <c r="I312" s="535"/>
      <c r="J312" s="535"/>
      <c r="K312" s="535"/>
      <c r="L312" s="535">
        <f>CCBASE!$I$13*B312/1000</f>
        <v>479.07531</v>
      </c>
      <c r="M312" s="535"/>
      <c r="N312" s="535">
        <f>CCBASE!$I$7*B312/1000</f>
        <v>63.084560000000003</v>
      </c>
      <c r="O312" s="535">
        <f>CCBASE!$I$45*B312/1000</f>
        <v>19.940000000000001</v>
      </c>
      <c r="P312" s="535"/>
      <c r="Q312" s="535">
        <f>CCBASE!$H$51</f>
        <v>5.16</v>
      </c>
      <c r="R312" s="535">
        <f>CCBASE!$I$4</f>
        <v>8.3986041999999994</v>
      </c>
      <c r="S312" s="535">
        <f>CCBASE!$I$8</f>
        <v>16.25526</v>
      </c>
      <c r="T312" s="535">
        <f>CCBASE!$I$44</f>
        <v>94.69</v>
      </c>
      <c r="U312" s="535">
        <f>CCBASE!$I$47*2</f>
        <v>28.82</v>
      </c>
      <c r="V312" s="535">
        <f>CCBASE!$I$46</f>
        <v>2.44</v>
      </c>
      <c r="W312" s="535">
        <f>CCBASE!$I$43*B312/1000</f>
        <v>177.24823999999998</v>
      </c>
      <c r="X312" s="535"/>
      <c r="Y312" s="535"/>
      <c r="Z312" s="535"/>
      <c r="AA312" s="535"/>
      <c r="AB312" s="535"/>
      <c r="AC312" s="535"/>
      <c r="AD312" s="535">
        <f>CCBASE!$I$38*2</f>
        <v>272.06745999999998</v>
      </c>
    </row>
    <row r="313" spans="1:30" x14ac:dyDescent="0.2">
      <c r="A313" s="533" t="s">
        <v>1103</v>
      </c>
      <c r="B313" s="533">
        <v>2250</v>
      </c>
      <c r="C313" s="533">
        <v>2000</v>
      </c>
      <c r="D313" s="533" t="str">
        <f t="shared" si="12"/>
        <v>CMWF22502000</v>
      </c>
      <c r="E313" s="907">
        <f t="shared" si="11"/>
        <v>2446.8116568750002</v>
      </c>
      <c r="F313" s="534">
        <v>25.5</v>
      </c>
      <c r="G313" s="535">
        <f>F313*CCBASE!$B$51</f>
        <v>918</v>
      </c>
      <c r="H313" s="535">
        <f>CCBASE!$I$12*B313/1000</f>
        <v>269.21370892500005</v>
      </c>
      <c r="I313" s="535"/>
      <c r="J313" s="535"/>
      <c r="K313" s="535"/>
      <c r="L313" s="535">
        <f>CCBASE!$I$13*B313/1000</f>
        <v>538.95972374999997</v>
      </c>
      <c r="M313" s="535"/>
      <c r="N313" s="535">
        <f>CCBASE!$I$7*B313/1000</f>
        <v>70.970130000000012</v>
      </c>
      <c r="O313" s="535">
        <f>CCBASE!$I$45*B313/1000</f>
        <v>22.432500000000001</v>
      </c>
      <c r="P313" s="535"/>
      <c r="Q313" s="535">
        <f>CCBASE!$H$51</f>
        <v>5.16</v>
      </c>
      <c r="R313" s="535">
        <f>CCBASE!$I$4</f>
        <v>8.3986041999999994</v>
      </c>
      <c r="S313" s="535">
        <f>CCBASE!$I$8</f>
        <v>16.25526</v>
      </c>
      <c r="T313" s="535">
        <f>CCBASE!$I$44</f>
        <v>94.69</v>
      </c>
      <c r="U313" s="535">
        <f>CCBASE!$I$47*2</f>
        <v>28.82</v>
      </c>
      <c r="V313" s="535">
        <f>CCBASE!$I$46</f>
        <v>2.44</v>
      </c>
      <c r="W313" s="535">
        <f>CCBASE!$I$43*B313/1000</f>
        <v>199.40427</v>
      </c>
      <c r="X313" s="535"/>
      <c r="Y313" s="535"/>
      <c r="Z313" s="535"/>
      <c r="AA313" s="535"/>
      <c r="AB313" s="535"/>
      <c r="AC313" s="535"/>
      <c r="AD313" s="535">
        <f>CCBASE!$I$38*2</f>
        <v>272.06745999999998</v>
      </c>
    </row>
    <row r="314" spans="1:30" x14ac:dyDescent="0.2">
      <c r="A314" s="533" t="s">
        <v>1103</v>
      </c>
      <c r="B314" s="533">
        <v>2500</v>
      </c>
      <c r="C314" s="533">
        <v>2000</v>
      </c>
      <c r="D314" s="533" t="str">
        <f t="shared" si="12"/>
        <v>CMWF25002000</v>
      </c>
      <c r="E314" s="907">
        <f t="shared" si="11"/>
        <v>2569.14280495</v>
      </c>
      <c r="F314" s="534">
        <v>25.5</v>
      </c>
      <c r="G314" s="535">
        <f>F314*CCBASE!$B$51</f>
        <v>918</v>
      </c>
      <c r="H314" s="535">
        <f>CCBASE!$I$12*B314/1000</f>
        <v>299.12634325000005</v>
      </c>
      <c r="I314" s="535"/>
      <c r="J314" s="535"/>
      <c r="K314" s="535"/>
      <c r="L314" s="535">
        <f>CCBASE!$I$13*B314/1000</f>
        <v>598.84413749999999</v>
      </c>
      <c r="M314" s="535"/>
      <c r="N314" s="535">
        <f>CCBASE!$I$7*B314/1000</f>
        <v>78.855699999999999</v>
      </c>
      <c r="O314" s="535">
        <f>CCBASE!$I$45*B314/1000</f>
        <v>24.925000000000001</v>
      </c>
      <c r="P314" s="535"/>
      <c r="Q314" s="535">
        <f>CCBASE!$H$51</f>
        <v>5.16</v>
      </c>
      <c r="R314" s="535">
        <f>CCBASE!$I$4</f>
        <v>8.3986041999999994</v>
      </c>
      <c r="S314" s="535">
        <f>CCBASE!$I$8</f>
        <v>16.25526</v>
      </c>
      <c r="T314" s="535">
        <f>CCBASE!$I$44</f>
        <v>94.69</v>
      </c>
      <c r="U314" s="535">
        <f>CCBASE!$I$47*2</f>
        <v>28.82</v>
      </c>
      <c r="V314" s="535">
        <f>CCBASE!$I$46</f>
        <v>2.44</v>
      </c>
      <c r="W314" s="535">
        <f>CCBASE!$I$43*B314/1000</f>
        <v>221.56029999999998</v>
      </c>
      <c r="X314" s="535"/>
      <c r="Y314" s="535"/>
      <c r="Z314" s="535"/>
      <c r="AA314" s="535"/>
      <c r="AB314" s="535"/>
      <c r="AC314" s="535"/>
      <c r="AD314" s="535">
        <f>CCBASE!$I$38*2</f>
        <v>272.06745999999998</v>
      </c>
    </row>
    <row r="315" spans="1:30" x14ac:dyDescent="0.2">
      <c r="A315" s="533" t="s">
        <v>1103</v>
      </c>
      <c r="B315" s="533">
        <v>2750</v>
      </c>
      <c r="C315" s="533">
        <v>2000</v>
      </c>
      <c r="D315" s="533" t="str">
        <f t="shared" si="12"/>
        <v>CMWF27502000</v>
      </c>
      <c r="E315" s="907">
        <f t="shared" si="11"/>
        <v>2691.4739530250008</v>
      </c>
      <c r="F315" s="534">
        <v>25.5</v>
      </c>
      <c r="G315" s="535">
        <f>F315*CCBASE!$B$51</f>
        <v>918</v>
      </c>
      <c r="H315" s="535">
        <f>CCBASE!$I$12*B315/1000</f>
        <v>329.03897757500005</v>
      </c>
      <c r="I315" s="535"/>
      <c r="J315" s="535"/>
      <c r="K315" s="535"/>
      <c r="L315" s="535">
        <f>CCBASE!$I$13*B315/1000</f>
        <v>658.72855125000001</v>
      </c>
      <c r="M315" s="535"/>
      <c r="N315" s="535">
        <f>CCBASE!$I$7*B315/1000</f>
        <v>86.74127</v>
      </c>
      <c r="O315" s="535">
        <f>CCBASE!$I$45*B315/1000</f>
        <v>27.4175</v>
      </c>
      <c r="P315" s="535"/>
      <c r="Q315" s="535">
        <f>CCBASE!$H$51</f>
        <v>5.16</v>
      </c>
      <c r="R315" s="535">
        <f>CCBASE!$I$4</f>
        <v>8.3986041999999994</v>
      </c>
      <c r="S315" s="535">
        <f>CCBASE!$I$8</f>
        <v>16.25526</v>
      </c>
      <c r="T315" s="535">
        <f>CCBASE!$I$44</f>
        <v>94.69</v>
      </c>
      <c r="U315" s="535">
        <f>CCBASE!$I$47*2</f>
        <v>28.82</v>
      </c>
      <c r="V315" s="535">
        <f>CCBASE!$I$46</f>
        <v>2.44</v>
      </c>
      <c r="W315" s="535">
        <f>CCBASE!$I$43*B315/1000</f>
        <v>243.71633</v>
      </c>
      <c r="X315" s="535"/>
      <c r="Y315" s="535"/>
      <c r="Z315" s="535"/>
      <c r="AA315" s="535"/>
      <c r="AB315" s="535"/>
      <c r="AC315" s="535"/>
      <c r="AD315" s="535">
        <f>CCBASE!$I$38*2</f>
        <v>272.06745999999998</v>
      </c>
    </row>
    <row r="316" spans="1:30" x14ac:dyDescent="0.2">
      <c r="A316" s="533" t="s">
        <v>1103</v>
      </c>
      <c r="B316" s="533">
        <v>3000</v>
      </c>
      <c r="C316" s="533">
        <v>2000</v>
      </c>
      <c r="D316" s="533" t="str">
        <f t="shared" si="12"/>
        <v>CMWF30002000</v>
      </c>
      <c r="E316" s="907">
        <f t="shared" si="11"/>
        <v>2813.8051010999998</v>
      </c>
      <c r="F316" s="534">
        <v>25.5</v>
      </c>
      <c r="G316" s="535">
        <f>F316*CCBASE!$B$51</f>
        <v>918</v>
      </c>
      <c r="H316" s="535">
        <f>CCBASE!$I$12*B316/1000</f>
        <v>358.95161190000005</v>
      </c>
      <c r="I316" s="535"/>
      <c r="J316" s="535"/>
      <c r="K316" s="535"/>
      <c r="L316" s="535">
        <f>CCBASE!$I$13*B316/1000</f>
        <v>718.61296499999992</v>
      </c>
      <c r="M316" s="535"/>
      <c r="N316" s="535">
        <f>CCBASE!$I$7*B316/1000</f>
        <v>94.626840000000016</v>
      </c>
      <c r="O316" s="535">
        <f>CCBASE!$I$45*B316/1000</f>
        <v>29.910000000000004</v>
      </c>
      <c r="P316" s="535"/>
      <c r="Q316" s="535">
        <f>CCBASE!$H$51</f>
        <v>5.16</v>
      </c>
      <c r="R316" s="535">
        <f>CCBASE!$I$4</f>
        <v>8.3986041999999994</v>
      </c>
      <c r="S316" s="535">
        <f>CCBASE!$I$8</f>
        <v>16.25526</v>
      </c>
      <c r="T316" s="535">
        <f>CCBASE!$I$44</f>
        <v>94.69</v>
      </c>
      <c r="U316" s="535">
        <f>CCBASE!$I$47*2</f>
        <v>28.82</v>
      </c>
      <c r="V316" s="535">
        <f>CCBASE!$I$46</f>
        <v>2.44</v>
      </c>
      <c r="W316" s="535">
        <f>CCBASE!$I$43*B316/1000</f>
        <v>265.87235999999996</v>
      </c>
      <c r="X316" s="535"/>
      <c r="Y316" s="535"/>
      <c r="Z316" s="535"/>
      <c r="AA316" s="535"/>
      <c r="AB316" s="535"/>
      <c r="AC316" s="535"/>
      <c r="AD316" s="535">
        <f>CCBASE!$I$38*2</f>
        <v>272.06745999999998</v>
      </c>
    </row>
    <row r="317" spans="1:30" x14ac:dyDescent="0.2">
      <c r="A317" s="533" t="s">
        <v>1097</v>
      </c>
      <c r="B317" s="533">
        <v>1000</v>
      </c>
      <c r="C317" s="533">
        <v>1000</v>
      </c>
      <c r="D317" s="533" t="str">
        <f t="shared" si="12"/>
        <v>CMWI10001000</v>
      </c>
      <c r="E317" s="907">
        <f t="shared" si="11"/>
        <v>1416.4362194999999</v>
      </c>
      <c r="F317" s="534">
        <v>20</v>
      </c>
      <c r="G317" s="535">
        <f>F317*CCBASE!$B$51</f>
        <v>720</v>
      </c>
      <c r="H317" s="535">
        <f>CCBASE!$I$12*B317/1000</f>
        <v>119.65053730000001</v>
      </c>
      <c r="I317" s="535"/>
      <c r="J317" s="535"/>
      <c r="K317" s="535"/>
      <c r="L317" s="535">
        <f>CCBASE!$I$14*B317/1000</f>
        <v>209.37365399999999</v>
      </c>
      <c r="M317" s="535"/>
      <c r="N317" s="535"/>
      <c r="O317" s="535">
        <f>CCBASE!$I$45*B317/1000</f>
        <v>9.9700000000000006</v>
      </c>
      <c r="P317" s="535"/>
      <c r="Q317" s="535">
        <f>CCBASE!$H$51</f>
        <v>5.16</v>
      </c>
      <c r="R317" s="535">
        <f>CCBASE!$I$4</f>
        <v>8.3986041999999994</v>
      </c>
      <c r="S317" s="535">
        <f>CCBASE!$I$8</f>
        <v>16.25526</v>
      </c>
      <c r="T317" s="535">
        <f>CCBASE!$I$44</f>
        <v>94.69</v>
      </c>
      <c r="U317" s="535"/>
      <c r="V317" s="535"/>
      <c r="W317" s="535">
        <f>CCBASE!$I$40*B317/1000</f>
        <v>41.308039999999998</v>
      </c>
      <c r="X317" s="535"/>
      <c r="Y317" s="535"/>
      <c r="Z317" s="535"/>
      <c r="AA317" s="535"/>
      <c r="AB317" s="535"/>
      <c r="AC317" s="535"/>
      <c r="AD317" s="535">
        <f>CCBASE!$I$36*2</f>
        <v>191.630124</v>
      </c>
    </row>
    <row r="318" spans="1:30" x14ac:dyDescent="0.2">
      <c r="A318" s="533" t="s">
        <v>1097</v>
      </c>
      <c r="B318" s="533">
        <v>1250</v>
      </c>
      <c r="C318" s="533">
        <v>1000</v>
      </c>
      <c r="D318" s="533" t="str">
        <f t="shared" si="12"/>
        <v>CMWI12501000</v>
      </c>
      <c r="E318" s="907">
        <f t="shared" si="11"/>
        <v>1511.5117773250001</v>
      </c>
      <c r="F318" s="534">
        <v>20</v>
      </c>
      <c r="G318" s="535">
        <f>F318*CCBASE!$B$51</f>
        <v>720</v>
      </c>
      <c r="H318" s="535">
        <f>CCBASE!$I$12*B318/1000</f>
        <v>149.56317162500002</v>
      </c>
      <c r="I318" s="535"/>
      <c r="J318" s="535"/>
      <c r="K318" s="535"/>
      <c r="L318" s="535">
        <f>CCBASE!$I$14*B318/1000</f>
        <v>261.71706749999998</v>
      </c>
      <c r="M318" s="535"/>
      <c r="N318" s="535"/>
      <c r="O318" s="535">
        <f>CCBASE!$I$45*B318/1000</f>
        <v>12.4625</v>
      </c>
      <c r="P318" s="535"/>
      <c r="Q318" s="535">
        <f>CCBASE!$H$51</f>
        <v>5.16</v>
      </c>
      <c r="R318" s="535">
        <f>CCBASE!$I$4</f>
        <v>8.3986041999999994</v>
      </c>
      <c r="S318" s="535">
        <f>CCBASE!$I$8</f>
        <v>16.25526</v>
      </c>
      <c r="T318" s="535">
        <f>CCBASE!$I$44</f>
        <v>94.69</v>
      </c>
      <c r="U318" s="535"/>
      <c r="V318" s="535"/>
      <c r="W318" s="535">
        <f>CCBASE!$I$40*B318/1000</f>
        <v>51.635049999999993</v>
      </c>
      <c r="X318" s="535"/>
      <c r="Y318" s="535"/>
      <c r="Z318" s="535"/>
      <c r="AA318" s="535"/>
      <c r="AB318" s="535"/>
      <c r="AC318" s="535"/>
      <c r="AD318" s="535">
        <f>CCBASE!$I$36*2</f>
        <v>191.630124</v>
      </c>
    </row>
    <row r="319" spans="1:30" x14ac:dyDescent="0.2">
      <c r="A319" s="533" t="s">
        <v>1097</v>
      </c>
      <c r="B319" s="533">
        <v>1500</v>
      </c>
      <c r="C319" s="533">
        <v>1000</v>
      </c>
      <c r="D319" s="533" t="str">
        <f t="shared" si="12"/>
        <v>CMWI15001000</v>
      </c>
      <c r="E319" s="907">
        <f t="shared" si="11"/>
        <v>1606.5873351499999</v>
      </c>
      <c r="F319" s="534">
        <v>20</v>
      </c>
      <c r="G319" s="535">
        <f>F319*CCBASE!$B$51</f>
        <v>720</v>
      </c>
      <c r="H319" s="535">
        <f>CCBASE!$I$12*B319/1000</f>
        <v>179.47580595000002</v>
      </c>
      <c r="I319" s="535"/>
      <c r="J319" s="535"/>
      <c r="K319" s="535"/>
      <c r="L319" s="535">
        <f>CCBASE!$I$14*B319/1000</f>
        <v>314.06048099999998</v>
      </c>
      <c r="M319" s="535"/>
      <c r="N319" s="535"/>
      <c r="O319" s="535">
        <f>CCBASE!$I$45*B319/1000</f>
        <v>14.955000000000002</v>
      </c>
      <c r="P319" s="535"/>
      <c r="Q319" s="535">
        <f>CCBASE!$H$51</f>
        <v>5.16</v>
      </c>
      <c r="R319" s="535">
        <f>CCBASE!$I$4</f>
        <v>8.3986041999999994</v>
      </c>
      <c r="S319" s="535">
        <f>CCBASE!$I$8</f>
        <v>16.25526</v>
      </c>
      <c r="T319" s="535">
        <f>CCBASE!$I$44</f>
        <v>94.69</v>
      </c>
      <c r="U319" s="535"/>
      <c r="V319" s="535"/>
      <c r="W319" s="535">
        <f>CCBASE!$I$40*B319/1000</f>
        <v>61.962060000000001</v>
      </c>
      <c r="X319" s="535"/>
      <c r="Y319" s="535"/>
      <c r="Z319" s="535"/>
      <c r="AA319" s="535"/>
      <c r="AB319" s="535"/>
      <c r="AC319" s="535"/>
      <c r="AD319" s="535">
        <f>CCBASE!$I$36*2</f>
        <v>191.630124</v>
      </c>
    </row>
    <row r="320" spans="1:30" x14ac:dyDescent="0.2">
      <c r="A320" s="533" t="s">
        <v>1097</v>
      </c>
      <c r="B320" s="533">
        <v>1750</v>
      </c>
      <c r="C320" s="533">
        <v>1000</v>
      </c>
      <c r="D320" s="533" t="str">
        <f t="shared" si="12"/>
        <v>CMWI17501000</v>
      </c>
      <c r="E320" s="907">
        <f t="shared" si="11"/>
        <v>1701.662892975</v>
      </c>
      <c r="F320" s="534">
        <v>20</v>
      </c>
      <c r="G320" s="535">
        <f>F320*CCBASE!$B$51</f>
        <v>720</v>
      </c>
      <c r="H320" s="535">
        <f>CCBASE!$I$12*B320/1000</f>
        <v>209.38844027500002</v>
      </c>
      <c r="I320" s="535"/>
      <c r="J320" s="535"/>
      <c r="K320" s="535"/>
      <c r="L320" s="535">
        <f>CCBASE!$I$14*B320/1000</f>
        <v>366.40389449999998</v>
      </c>
      <c r="M320" s="535"/>
      <c r="N320" s="535"/>
      <c r="O320" s="535">
        <f>CCBASE!$I$45*B320/1000</f>
        <v>17.447500000000002</v>
      </c>
      <c r="P320" s="535"/>
      <c r="Q320" s="535">
        <f>CCBASE!$H$51</f>
        <v>5.16</v>
      </c>
      <c r="R320" s="535">
        <f>CCBASE!$I$4</f>
        <v>8.3986041999999994</v>
      </c>
      <c r="S320" s="535">
        <f>CCBASE!$I$8</f>
        <v>16.25526</v>
      </c>
      <c r="T320" s="535">
        <f>CCBASE!$I$44</f>
        <v>94.69</v>
      </c>
      <c r="U320" s="535"/>
      <c r="V320" s="535"/>
      <c r="W320" s="535">
        <f>CCBASE!$I$40*B320/1000</f>
        <v>72.289069999999995</v>
      </c>
      <c r="X320" s="535"/>
      <c r="Y320" s="535"/>
      <c r="Z320" s="535"/>
      <c r="AA320" s="535"/>
      <c r="AB320" s="535"/>
      <c r="AC320" s="535"/>
      <c r="AD320" s="535">
        <f>CCBASE!$I$36*2</f>
        <v>191.630124</v>
      </c>
    </row>
    <row r="321" spans="1:30" x14ac:dyDescent="0.2">
      <c r="A321" s="533" t="s">
        <v>1097</v>
      </c>
      <c r="B321" s="533">
        <v>2000</v>
      </c>
      <c r="C321" s="533">
        <v>1000</v>
      </c>
      <c r="D321" s="533" t="str">
        <f t="shared" si="12"/>
        <v>CMWI20001000</v>
      </c>
      <c r="E321" s="907">
        <f t="shared" si="11"/>
        <v>1796.7384508</v>
      </c>
      <c r="F321" s="534">
        <v>20</v>
      </c>
      <c r="G321" s="535">
        <f>F321*CCBASE!$B$51</f>
        <v>720</v>
      </c>
      <c r="H321" s="535">
        <f>CCBASE!$I$12*B321/1000</f>
        <v>239.30107460000002</v>
      </c>
      <c r="I321" s="535"/>
      <c r="J321" s="535"/>
      <c r="K321" s="535"/>
      <c r="L321" s="535">
        <f>CCBASE!$I$14*B321/1000</f>
        <v>418.74730799999998</v>
      </c>
      <c r="M321" s="535"/>
      <c r="N321" s="535"/>
      <c r="O321" s="535">
        <f>CCBASE!$I$45*B321/1000</f>
        <v>19.940000000000001</v>
      </c>
      <c r="P321" s="535"/>
      <c r="Q321" s="535">
        <f>CCBASE!$H$51</f>
        <v>5.16</v>
      </c>
      <c r="R321" s="535">
        <f>CCBASE!$I$4</f>
        <v>8.3986041999999994</v>
      </c>
      <c r="S321" s="535">
        <f>CCBASE!$I$8</f>
        <v>16.25526</v>
      </c>
      <c r="T321" s="535">
        <f>CCBASE!$I$44</f>
        <v>94.69</v>
      </c>
      <c r="U321" s="535"/>
      <c r="V321" s="535"/>
      <c r="W321" s="535">
        <f>CCBASE!$I$40*B321/1000</f>
        <v>82.616079999999997</v>
      </c>
      <c r="X321" s="535"/>
      <c r="Y321" s="535"/>
      <c r="Z321" s="535"/>
      <c r="AA321" s="535"/>
      <c r="AB321" s="535"/>
      <c r="AC321" s="535"/>
      <c r="AD321" s="535">
        <f>CCBASE!$I$36*2</f>
        <v>191.630124</v>
      </c>
    </row>
    <row r="322" spans="1:30" x14ac:dyDescent="0.2">
      <c r="A322" s="533" t="s">
        <v>1097</v>
      </c>
      <c r="B322" s="533">
        <v>2250</v>
      </c>
      <c r="C322" s="533">
        <v>1000</v>
      </c>
      <c r="D322" s="533" t="str">
        <f t="shared" si="12"/>
        <v>CMWI22501000</v>
      </c>
      <c r="E322" s="907">
        <f t="shared" ref="E322:E385" si="13">SUM(G322:AD322)</f>
        <v>1927.8140086249998</v>
      </c>
      <c r="F322" s="534">
        <v>21</v>
      </c>
      <c r="G322" s="535">
        <f>F322*CCBASE!$B$51</f>
        <v>756</v>
      </c>
      <c r="H322" s="535">
        <f>CCBASE!$I$12*B322/1000</f>
        <v>269.21370892500005</v>
      </c>
      <c r="I322" s="535"/>
      <c r="J322" s="535"/>
      <c r="K322" s="535"/>
      <c r="L322" s="535">
        <f>CCBASE!$I$14*B322/1000</f>
        <v>471.09072149999997</v>
      </c>
      <c r="M322" s="535"/>
      <c r="N322" s="535"/>
      <c r="O322" s="535">
        <f>CCBASE!$I$45*B322/1000</f>
        <v>22.432500000000001</v>
      </c>
      <c r="P322" s="535"/>
      <c r="Q322" s="535">
        <f>CCBASE!$H$51</f>
        <v>5.16</v>
      </c>
      <c r="R322" s="535">
        <f>CCBASE!$I$4</f>
        <v>8.3986041999999994</v>
      </c>
      <c r="S322" s="535">
        <f>CCBASE!$I$8</f>
        <v>16.25526</v>
      </c>
      <c r="T322" s="535">
        <f>CCBASE!$I$44</f>
        <v>94.69</v>
      </c>
      <c r="U322" s="535"/>
      <c r="V322" s="535"/>
      <c r="W322" s="535">
        <f>CCBASE!$I$40*B322/1000</f>
        <v>92.943089999999998</v>
      </c>
      <c r="X322" s="535"/>
      <c r="Y322" s="535"/>
      <c r="Z322" s="535"/>
      <c r="AA322" s="535"/>
      <c r="AB322" s="535"/>
      <c r="AC322" s="535"/>
      <c r="AD322" s="535">
        <f>CCBASE!$I$36*2</f>
        <v>191.630124</v>
      </c>
    </row>
    <row r="323" spans="1:30" x14ac:dyDescent="0.2">
      <c r="A323" s="533" t="s">
        <v>1097</v>
      </c>
      <c r="B323" s="533">
        <v>2500</v>
      </c>
      <c r="C323" s="533">
        <v>1000</v>
      </c>
      <c r="D323" s="533" t="str">
        <f t="shared" si="12"/>
        <v>CMWI25001000</v>
      </c>
      <c r="E323" s="907">
        <f t="shared" si="13"/>
        <v>2022.8895664499998</v>
      </c>
      <c r="F323" s="534">
        <v>21</v>
      </c>
      <c r="G323" s="535">
        <f>F323*CCBASE!$B$51</f>
        <v>756</v>
      </c>
      <c r="H323" s="535">
        <f>CCBASE!$I$12*B323/1000</f>
        <v>299.12634325000005</v>
      </c>
      <c r="I323" s="535"/>
      <c r="J323" s="535"/>
      <c r="K323" s="535"/>
      <c r="L323" s="535">
        <f>CCBASE!$I$14*B323/1000</f>
        <v>523.43413499999997</v>
      </c>
      <c r="M323" s="535"/>
      <c r="N323" s="535"/>
      <c r="O323" s="535">
        <f>CCBASE!$I$45*B323/1000</f>
        <v>24.925000000000001</v>
      </c>
      <c r="P323" s="535"/>
      <c r="Q323" s="535">
        <f>CCBASE!$H$51</f>
        <v>5.16</v>
      </c>
      <c r="R323" s="535">
        <f>CCBASE!$I$4</f>
        <v>8.3986041999999994</v>
      </c>
      <c r="S323" s="535">
        <f>CCBASE!$I$8</f>
        <v>16.25526</v>
      </c>
      <c r="T323" s="535">
        <f>CCBASE!$I$44</f>
        <v>94.69</v>
      </c>
      <c r="U323" s="535"/>
      <c r="V323" s="535"/>
      <c r="W323" s="535">
        <f>CCBASE!$I$40*B323/1000</f>
        <v>103.27009999999999</v>
      </c>
      <c r="X323" s="535"/>
      <c r="Y323" s="535"/>
      <c r="Z323" s="535"/>
      <c r="AA323" s="535"/>
      <c r="AB323" s="535"/>
      <c r="AC323" s="535"/>
      <c r="AD323" s="535">
        <f>CCBASE!$I$36*2</f>
        <v>191.630124</v>
      </c>
    </row>
    <row r="324" spans="1:30" x14ac:dyDescent="0.2">
      <c r="A324" s="533" t="s">
        <v>1097</v>
      </c>
      <c r="B324" s="533">
        <v>2750</v>
      </c>
      <c r="C324" s="533">
        <v>1000</v>
      </c>
      <c r="D324" s="533" t="str">
        <f t="shared" si="12"/>
        <v>CMWI27501000</v>
      </c>
      <c r="E324" s="907">
        <f t="shared" si="13"/>
        <v>2117.9651242749997</v>
      </c>
      <c r="F324" s="534">
        <v>21</v>
      </c>
      <c r="G324" s="535">
        <f>F324*CCBASE!$B$51</f>
        <v>756</v>
      </c>
      <c r="H324" s="535">
        <f>CCBASE!$I$12*B324/1000</f>
        <v>329.03897757500005</v>
      </c>
      <c r="I324" s="535"/>
      <c r="J324" s="535"/>
      <c r="K324" s="535"/>
      <c r="L324" s="535">
        <f>CCBASE!$I$14*B324/1000</f>
        <v>575.77754849999997</v>
      </c>
      <c r="M324" s="535"/>
      <c r="N324" s="535"/>
      <c r="O324" s="535">
        <f>CCBASE!$I$45*B324/1000</f>
        <v>27.4175</v>
      </c>
      <c r="P324" s="535"/>
      <c r="Q324" s="535">
        <f>CCBASE!$H$51</f>
        <v>5.16</v>
      </c>
      <c r="R324" s="535">
        <f>CCBASE!$I$4</f>
        <v>8.3986041999999994</v>
      </c>
      <c r="S324" s="535">
        <f>CCBASE!$I$8</f>
        <v>16.25526</v>
      </c>
      <c r="T324" s="535">
        <f>CCBASE!$I$44</f>
        <v>94.69</v>
      </c>
      <c r="U324" s="535"/>
      <c r="V324" s="535"/>
      <c r="W324" s="535">
        <f>CCBASE!$I$40*B324/1000</f>
        <v>113.59711</v>
      </c>
      <c r="X324" s="535"/>
      <c r="Y324" s="535"/>
      <c r="Z324" s="535"/>
      <c r="AA324" s="535"/>
      <c r="AB324" s="535"/>
      <c r="AC324" s="535"/>
      <c r="AD324" s="535">
        <f>CCBASE!$I$36*2</f>
        <v>191.630124</v>
      </c>
    </row>
    <row r="325" spans="1:30" x14ac:dyDescent="0.2">
      <c r="A325" s="533" t="s">
        <v>1097</v>
      </c>
      <c r="B325" s="533">
        <v>3000</v>
      </c>
      <c r="C325" s="533">
        <v>1000</v>
      </c>
      <c r="D325" s="533" t="str">
        <f t="shared" si="12"/>
        <v>CMWI30001000</v>
      </c>
      <c r="E325" s="907">
        <f t="shared" si="13"/>
        <v>2213.0406820999997</v>
      </c>
      <c r="F325" s="534">
        <v>21</v>
      </c>
      <c r="G325" s="535">
        <f>F325*CCBASE!$B$51</f>
        <v>756</v>
      </c>
      <c r="H325" s="535">
        <f>CCBASE!$I$12*B325/1000</f>
        <v>358.95161190000005</v>
      </c>
      <c r="I325" s="535"/>
      <c r="J325" s="535"/>
      <c r="K325" s="535"/>
      <c r="L325" s="535">
        <f>CCBASE!$I$14*B325/1000</f>
        <v>628.12096199999996</v>
      </c>
      <c r="M325" s="535"/>
      <c r="N325" s="535"/>
      <c r="O325" s="535">
        <f>CCBASE!$I$45*B325/1000</f>
        <v>29.910000000000004</v>
      </c>
      <c r="P325" s="535"/>
      <c r="Q325" s="535">
        <f>CCBASE!$H$51</f>
        <v>5.16</v>
      </c>
      <c r="R325" s="535">
        <f>CCBASE!$I$4</f>
        <v>8.3986041999999994</v>
      </c>
      <c r="S325" s="535">
        <f>CCBASE!$I$8</f>
        <v>16.25526</v>
      </c>
      <c r="T325" s="535">
        <f>CCBASE!$I$44</f>
        <v>94.69</v>
      </c>
      <c r="U325" s="535"/>
      <c r="V325" s="535"/>
      <c r="W325" s="535">
        <f>CCBASE!$I$40*B325/1000</f>
        <v>123.92412</v>
      </c>
      <c r="X325" s="535"/>
      <c r="Y325" s="535"/>
      <c r="Z325" s="535"/>
      <c r="AA325" s="535"/>
      <c r="AB325" s="535"/>
      <c r="AC325" s="535"/>
      <c r="AD325" s="535">
        <f>CCBASE!$I$36*2</f>
        <v>191.630124</v>
      </c>
    </row>
    <row r="326" spans="1:30" x14ac:dyDescent="0.2">
      <c r="A326" s="533" t="s">
        <v>1097</v>
      </c>
      <c r="B326" s="533">
        <v>1000</v>
      </c>
      <c r="C326" s="533">
        <v>1250</v>
      </c>
      <c r="D326" s="533" t="str">
        <f t="shared" si="12"/>
        <v>CMWI10001250</v>
      </c>
      <c r="E326" s="907">
        <f t="shared" si="13"/>
        <v>1416.4362194999999</v>
      </c>
      <c r="F326" s="534">
        <v>20</v>
      </c>
      <c r="G326" s="535">
        <f>F326*CCBASE!$B$51</f>
        <v>720</v>
      </c>
      <c r="H326" s="535">
        <f>CCBASE!$I$12*B326/1000</f>
        <v>119.65053730000001</v>
      </c>
      <c r="I326" s="535"/>
      <c r="J326" s="535"/>
      <c r="K326" s="535"/>
      <c r="L326" s="535">
        <f>CCBASE!$I$14*B326/1000</f>
        <v>209.37365399999999</v>
      </c>
      <c r="M326" s="535"/>
      <c r="N326" s="535"/>
      <c r="O326" s="535">
        <f>CCBASE!$I$45*B326/1000</f>
        <v>9.9700000000000006</v>
      </c>
      <c r="P326" s="535"/>
      <c r="Q326" s="535">
        <f>CCBASE!$H$51</f>
        <v>5.16</v>
      </c>
      <c r="R326" s="535">
        <f>CCBASE!$I$4</f>
        <v>8.3986041999999994</v>
      </c>
      <c r="S326" s="535">
        <f>CCBASE!$I$8</f>
        <v>16.25526</v>
      </c>
      <c r="T326" s="535">
        <f>CCBASE!$I$44</f>
        <v>94.69</v>
      </c>
      <c r="U326" s="535"/>
      <c r="V326" s="535"/>
      <c r="W326" s="535">
        <f>CCBASE!$I$40*B326/1000</f>
        <v>41.308039999999998</v>
      </c>
      <c r="X326" s="535"/>
      <c r="Y326" s="535"/>
      <c r="Z326" s="535"/>
      <c r="AA326" s="535"/>
      <c r="AB326" s="535"/>
      <c r="AC326" s="535"/>
      <c r="AD326" s="535">
        <f>CCBASE!$I$36*2</f>
        <v>191.630124</v>
      </c>
    </row>
    <row r="327" spans="1:30" x14ac:dyDescent="0.2">
      <c r="A327" s="533" t="s">
        <v>1097</v>
      </c>
      <c r="B327" s="533">
        <v>1250</v>
      </c>
      <c r="C327" s="533">
        <v>1250</v>
      </c>
      <c r="D327" s="533" t="str">
        <f t="shared" si="12"/>
        <v>CMWI12501250</v>
      </c>
      <c r="E327" s="907">
        <f t="shared" si="13"/>
        <v>1511.5117773250001</v>
      </c>
      <c r="F327" s="534">
        <v>20</v>
      </c>
      <c r="G327" s="535">
        <f>F327*CCBASE!$B$51</f>
        <v>720</v>
      </c>
      <c r="H327" s="535">
        <f>CCBASE!$I$12*B327/1000</f>
        <v>149.56317162500002</v>
      </c>
      <c r="I327" s="535"/>
      <c r="J327" s="535"/>
      <c r="K327" s="535"/>
      <c r="L327" s="535">
        <f>CCBASE!$I$14*B327/1000</f>
        <v>261.71706749999998</v>
      </c>
      <c r="M327" s="535"/>
      <c r="N327" s="535"/>
      <c r="O327" s="535">
        <f>CCBASE!$I$45*B327/1000</f>
        <v>12.4625</v>
      </c>
      <c r="P327" s="535"/>
      <c r="Q327" s="535">
        <f>CCBASE!$H$51</f>
        <v>5.16</v>
      </c>
      <c r="R327" s="535">
        <f>CCBASE!$I$4</f>
        <v>8.3986041999999994</v>
      </c>
      <c r="S327" s="535">
        <f>CCBASE!$I$8</f>
        <v>16.25526</v>
      </c>
      <c r="T327" s="535">
        <f>CCBASE!$I$44</f>
        <v>94.69</v>
      </c>
      <c r="U327" s="535"/>
      <c r="V327" s="535"/>
      <c r="W327" s="535">
        <f>CCBASE!$I$40*B327/1000</f>
        <v>51.635049999999993</v>
      </c>
      <c r="X327" s="535"/>
      <c r="Y327" s="535"/>
      <c r="Z327" s="535"/>
      <c r="AA327" s="535"/>
      <c r="AB327" s="535"/>
      <c r="AC327" s="535"/>
      <c r="AD327" s="535">
        <f>CCBASE!$I$36*2</f>
        <v>191.630124</v>
      </c>
    </row>
    <row r="328" spans="1:30" x14ac:dyDescent="0.2">
      <c r="A328" s="533" t="s">
        <v>1097</v>
      </c>
      <c r="B328" s="533">
        <v>1500</v>
      </c>
      <c r="C328" s="533">
        <v>1250</v>
      </c>
      <c r="D328" s="533" t="str">
        <f t="shared" si="12"/>
        <v>CMWI15001250</v>
      </c>
      <c r="E328" s="907">
        <f t="shared" si="13"/>
        <v>1606.5873351499999</v>
      </c>
      <c r="F328" s="534">
        <v>20</v>
      </c>
      <c r="G328" s="535">
        <f>F328*CCBASE!$B$51</f>
        <v>720</v>
      </c>
      <c r="H328" s="535">
        <f>CCBASE!$I$12*B328/1000</f>
        <v>179.47580595000002</v>
      </c>
      <c r="I328" s="535"/>
      <c r="J328" s="535"/>
      <c r="K328" s="535"/>
      <c r="L328" s="535">
        <f>CCBASE!$I$14*B328/1000</f>
        <v>314.06048099999998</v>
      </c>
      <c r="M328" s="535"/>
      <c r="N328" s="535"/>
      <c r="O328" s="535">
        <f>CCBASE!$I$45*B328/1000</f>
        <v>14.955000000000002</v>
      </c>
      <c r="P328" s="535"/>
      <c r="Q328" s="535">
        <f>CCBASE!$H$51</f>
        <v>5.16</v>
      </c>
      <c r="R328" s="535">
        <f>CCBASE!$I$4</f>
        <v>8.3986041999999994</v>
      </c>
      <c r="S328" s="535">
        <f>CCBASE!$I$8</f>
        <v>16.25526</v>
      </c>
      <c r="T328" s="535">
        <f>CCBASE!$I$44</f>
        <v>94.69</v>
      </c>
      <c r="U328" s="535"/>
      <c r="V328" s="535"/>
      <c r="W328" s="535">
        <f>CCBASE!$I$40*B328/1000</f>
        <v>61.962060000000001</v>
      </c>
      <c r="X328" s="535"/>
      <c r="Y328" s="535"/>
      <c r="Z328" s="535"/>
      <c r="AA328" s="535"/>
      <c r="AB328" s="535"/>
      <c r="AC328" s="535"/>
      <c r="AD328" s="535">
        <f>CCBASE!$I$36*2</f>
        <v>191.630124</v>
      </c>
    </row>
    <row r="329" spans="1:30" x14ac:dyDescent="0.2">
      <c r="A329" s="533" t="s">
        <v>1097</v>
      </c>
      <c r="B329" s="533">
        <v>1750</v>
      </c>
      <c r="C329" s="533">
        <v>1250</v>
      </c>
      <c r="D329" s="533" t="str">
        <f t="shared" si="12"/>
        <v>CMWI17501250</v>
      </c>
      <c r="E329" s="907">
        <f t="shared" si="13"/>
        <v>1701.662892975</v>
      </c>
      <c r="F329" s="534">
        <v>20</v>
      </c>
      <c r="G329" s="535">
        <f>F329*CCBASE!$B$51</f>
        <v>720</v>
      </c>
      <c r="H329" s="535">
        <f>CCBASE!$I$12*B329/1000</f>
        <v>209.38844027500002</v>
      </c>
      <c r="I329" s="535"/>
      <c r="J329" s="535"/>
      <c r="K329" s="535"/>
      <c r="L329" s="535">
        <f>CCBASE!$I$14*B329/1000</f>
        <v>366.40389449999998</v>
      </c>
      <c r="M329" s="535"/>
      <c r="N329" s="535"/>
      <c r="O329" s="535">
        <f>CCBASE!$I$45*B329/1000</f>
        <v>17.447500000000002</v>
      </c>
      <c r="P329" s="535"/>
      <c r="Q329" s="535">
        <f>CCBASE!$H$51</f>
        <v>5.16</v>
      </c>
      <c r="R329" s="535">
        <f>CCBASE!$I$4</f>
        <v>8.3986041999999994</v>
      </c>
      <c r="S329" s="535">
        <f>CCBASE!$I$8</f>
        <v>16.25526</v>
      </c>
      <c r="T329" s="535">
        <f>CCBASE!$I$44</f>
        <v>94.69</v>
      </c>
      <c r="U329" s="535"/>
      <c r="V329" s="535"/>
      <c r="W329" s="535">
        <f>CCBASE!$I$40*B329/1000</f>
        <v>72.289069999999995</v>
      </c>
      <c r="X329" s="535"/>
      <c r="Y329" s="535"/>
      <c r="Z329" s="535"/>
      <c r="AA329" s="535"/>
      <c r="AB329" s="535"/>
      <c r="AC329" s="535"/>
      <c r="AD329" s="535">
        <f>CCBASE!$I$36*2</f>
        <v>191.630124</v>
      </c>
    </row>
    <row r="330" spans="1:30" x14ac:dyDescent="0.2">
      <c r="A330" s="533" t="s">
        <v>1097</v>
      </c>
      <c r="B330" s="533">
        <v>2000</v>
      </c>
      <c r="C330" s="533">
        <v>1250</v>
      </c>
      <c r="D330" s="533" t="str">
        <f t="shared" si="12"/>
        <v>CMWI20001250</v>
      </c>
      <c r="E330" s="907">
        <f t="shared" si="13"/>
        <v>1796.7384508</v>
      </c>
      <c r="F330" s="534">
        <v>20</v>
      </c>
      <c r="G330" s="535">
        <f>F330*CCBASE!$B$51</f>
        <v>720</v>
      </c>
      <c r="H330" s="535">
        <f>CCBASE!$I$12*B330/1000</f>
        <v>239.30107460000002</v>
      </c>
      <c r="I330" s="535"/>
      <c r="J330" s="535"/>
      <c r="K330" s="535"/>
      <c r="L330" s="535">
        <f>CCBASE!$I$14*B330/1000</f>
        <v>418.74730799999998</v>
      </c>
      <c r="M330" s="535"/>
      <c r="N330" s="535"/>
      <c r="O330" s="535">
        <f>CCBASE!$I$45*B330/1000</f>
        <v>19.940000000000001</v>
      </c>
      <c r="P330" s="535"/>
      <c r="Q330" s="535">
        <f>CCBASE!$H$51</f>
        <v>5.16</v>
      </c>
      <c r="R330" s="535">
        <f>CCBASE!$I$4</f>
        <v>8.3986041999999994</v>
      </c>
      <c r="S330" s="535">
        <f>CCBASE!$I$8</f>
        <v>16.25526</v>
      </c>
      <c r="T330" s="535">
        <f>CCBASE!$I$44</f>
        <v>94.69</v>
      </c>
      <c r="U330" s="535"/>
      <c r="V330" s="535"/>
      <c r="W330" s="535">
        <f>CCBASE!$I$40*B330/1000</f>
        <v>82.616079999999997</v>
      </c>
      <c r="X330" s="535"/>
      <c r="Y330" s="535"/>
      <c r="Z330" s="535"/>
      <c r="AA330" s="535"/>
      <c r="AB330" s="535"/>
      <c r="AC330" s="535"/>
      <c r="AD330" s="535">
        <f>CCBASE!$I$36*2</f>
        <v>191.630124</v>
      </c>
    </row>
    <row r="331" spans="1:30" x14ac:dyDescent="0.2">
      <c r="A331" s="533" t="s">
        <v>1097</v>
      </c>
      <c r="B331" s="533">
        <v>2250</v>
      </c>
      <c r="C331" s="533">
        <v>1250</v>
      </c>
      <c r="D331" s="533" t="str">
        <f t="shared" si="12"/>
        <v>CMWI22501250</v>
      </c>
      <c r="E331" s="907">
        <f t="shared" si="13"/>
        <v>1927.8140086249998</v>
      </c>
      <c r="F331" s="534">
        <v>21</v>
      </c>
      <c r="G331" s="535">
        <f>F331*CCBASE!$B$51</f>
        <v>756</v>
      </c>
      <c r="H331" s="535">
        <f>CCBASE!$I$12*B331/1000</f>
        <v>269.21370892500005</v>
      </c>
      <c r="I331" s="535"/>
      <c r="J331" s="535"/>
      <c r="K331" s="535"/>
      <c r="L331" s="535">
        <f>CCBASE!$I$14*B331/1000</f>
        <v>471.09072149999997</v>
      </c>
      <c r="M331" s="535"/>
      <c r="N331" s="535"/>
      <c r="O331" s="535">
        <f>CCBASE!$I$45*B331/1000</f>
        <v>22.432500000000001</v>
      </c>
      <c r="P331" s="535"/>
      <c r="Q331" s="535">
        <f>CCBASE!$H$51</f>
        <v>5.16</v>
      </c>
      <c r="R331" s="535">
        <f>CCBASE!$I$4</f>
        <v>8.3986041999999994</v>
      </c>
      <c r="S331" s="535">
        <f>CCBASE!$I$8</f>
        <v>16.25526</v>
      </c>
      <c r="T331" s="535">
        <f>CCBASE!$I$44</f>
        <v>94.69</v>
      </c>
      <c r="U331" s="535"/>
      <c r="V331" s="535"/>
      <c r="W331" s="535">
        <f>CCBASE!$I$40*B331/1000</f>
        <v>92.943089999999998</v>
      </c>
      <c r="X331" s="535"/>
      <c r="Y331" s="535"/>
      <c r="Z331" s="535"/>
      <c r="AA331" s="535"/>
      <c r="AB331" s="535"/>
      <c r="AC331" s="535"/>
      <c r="AD331" s="535">
        <f>CCBASE!$I$36*2</f>
        <v>191.630124</v>
      </c>
    </row>
    <row r="332" spans="1:30" x14ac:dyDescent="0.2">
      <c r="A332" s="533" t="s">
        <v>1097</v>
      </c>
      <c r="B332" s="533">
        <v>2500</v>
      </c>
      <c r="C332" s="533">
        <v>1250</v>
      </c>
      <c r="D332" s="533" t="str">
        <f t="shared" si="12"/>
        <v>CMWI25001250</v>
      </c>
      <c r="E332" s="907">
        <f t="shared" si="13"/>
        <v>2022.8895664499998</v>
      </c>
      <c r="F332" s="534">
        <v>21</v>
      </c>
      <c r="G332" s="535">
        <f>F332*CCBASE!$B$51</f>
        <v>756</v>
      </c>
      <c r="H332" s="535">
        <f>CCBASE!$I$12*B332/1000</f>
        <v>299.12634325000005</v>
      </c>
      <c r="I332" s="535"/>
      <c r="J332" s="535"/>
      <c r="K332" s="535"/>
      <c r="L332" s="535">
        <f>CCBASE!$I$14*B332/1000</f>
        <v>523.43413499999997</v>
      </c>
      <c r="M332" s="535"/>
      <c r="N332" s="535"/>
      <c r="O332" s="535">
        <f>CCBASE!$I$45*B332/1000</f>
        <v>24.925000000000001</v>
      </c>
      <c r="P332" s="535"/>
      <c r="Q332" s="535">
        <f>CCBASE!$H$51</f>
        <v>5.16</v>
      </c>
      <c r="R332" s="535">
        <f>CCBASE!$I$4</f>
        <v>8.3986041999999994</v>
      </c>
      <c r="S332" s="535">
        <f>CCBASE!$I$8</f>
        <v>16.25526</v>
      </c>
      <c r="T332" s="535">
        <f>CCBASE!$I$44</f>
        <v>94.69</v>
      </c>
      <c r="U332" s="535"/>
      <c r="V332" s="535"/>
      <c r="W332" s="535">
        <f>CCBASE!$I$40*B332/1000</f>
        <v>103.27009999999999</v>
      </c>
      <c r="X332" s="535"/>
      <c r="Y332" s="535"/>
      <c r="Z332" s="535"/>
      <c r="AA332" s="535"/>
      <c r="AB332" s="535"/>
      <c r="AC332" s="535"/>
      <c r="AD332" s="535">
        <f>CCBASE!$I$36*2</f>
        <v>191.630124</v>
      </c>
    </row>
    <row r="333" spans="1:30" x14ac:dyDescent="0.2">
      <c r="A333" s="533" t="s">
        <v>1097</v>
      </c>
      <c r="B333" s="533">
        <v>2750</v>
      </c>
      <c r="C333" s="533">
        <v>1250</v>
      </c>
      <c r="D333" s="533" t="str">
        <f t="shared" si="12"/>
        <v>CMWI27501250</v>
      </c>
      <c r="E333" s="907">
        <f t="shared" si="13"/>
        <v>2117.9651242749997</v>
      </c>
      <c r="F333" s="534">
        <v>21</v>
      </c>
      <c r="G333" s="535">
        <f>F333*CCBASE!$B$51</f>
        <v>756</v>
      </c>
      <c r="H333" s="535">
        <f>CCBASE!$I$12*B333/1000</f>
        <v>329.03897757500005</v>
      </c>
      <c r="I333" s="535"/>
      <c r="J333" s="535"/>
      <c r="K333" s="535"/>
      <c r="L333" s="535">
        <f>CCBASE!$I$14*B333/1000</f>
        <v>575.77754849999997</v>
      </c>
      <c r="M333" s="535"/>
      <c r="N333" s="535"/>
      <c r="O333" s="535">
        <f>CCBASE!$I$45*B333/1000</f>
        <v>27.4175</v>
      </c>
      <c r="P333" s="535"/>
      <c r="Q333" s="535">
        <f>CCBASE!$H$51</f>
        <v>5.16</v>
      </c>
      <c r="R333" s="535">
        <f>CCBASE!$I$4</f>
        <v>8.3986041999999994</v>
      </c>
      <c r="S333" s="535">
        <f>CCBASE!$I$8</f>
        <v>16.25526</v>
      </c>
      <c r="T333" s="535">
        <f>CCBASE!$I$44</f>
        <v>94.69</v>
      </c>
      <c r="U333" s="535"/>
      <c r="V333" s="535"/>
      <c r="W333" s="535">
        <f>CCBASE!$I$40*B333/1000</f>
        <v>113.59711</v>
      </c>
      <c r="X333" s="535"/>
      <c r="Y333" s="535"/>
      <c r="Z333" s="535"/>
      <c r="AA333" s="535"/>
      <c r="AB333" s="535"/>
      <c r="AC333" s="535"/>
      <c r="AD333" s="535">
        <f>CCBASE!$I$36*2</f>
        <v>191.630124</v>
      </c>
    </row>
    <row r="334" spans="1:30" x14ac:dyDescent="0.2">
      <c r="A334" s="533" t="s">
        <v>1097</v>
      </c>
      <c r="B334" s="533">
        <v>3000</v>
      </c>
      <c r="C334" s="533">
        <v>1250</v>
      </c>
      <c r="D334" s="533" t="str">
        <f t="shared" si="12"/>
        <v>CMWI30001250</v>
      </c>
      <c r="E334" s="907">
        <f t="shared" si="13"/>
        <v>2213.0406820999997</v>
      </c>
      <c r="F334" s="534">
        <v>21</v>
      </c>
      <c r="G334" s="535">
        <f>F334*CCBASE!$B$51</f>
        <v>756</v>
      </c>
      <c r="H334" s="535">
        <f>CCBASE!$I$12*B334/1000</f>
        <v>358.95161190000005</v>
      </c>
      <c r="I334" s="535"/>
      <c r="J334" s="535"/>
      <c r="K334" s="535"/>
      <c r="L334" s="535">
        <f>CCBASE!$I$14*B334/1000</f>
        <v>628.12096199999996</v>
      </c>
      <c r="M334" s="535"/>
      <c r="N334" s="535"/>
      <c r="O334" s="535">
        <f>CCBASE!$I$45*B334/1000</f>
        <v>29.910000000000004</v>
      </c>
      <c r="P334" s="535"/>
      <c r="Q334" s="535">
        <f>CCBASE!$H$51</f>
        <v>5.16</v>
      </c>
      <c r="R334" s="535">
        <f>CCBASE!$I$4</f>
        <v>8.3986041999999994</v>
      </c>
      <c r="S334" s="535">
        <f>CCBASE!$I$8</f>
        <v>16.25526</v>
      </c>
      <c r="T334" s="535">
        <f>CCBASE!$I$44</f>
        <v>94.69</v>
      </c>
      <c r="U334" s="535"/>
      <c r="V334" s="535"/>
      <c r="W334" s="535">
        <f>CCBASE!$I$40*B334/1000</f>
        <v>123.92412</v>
      </c>
      <c r="X334" s="535"/>
      <c r="Y334" s="535"/>
      <c r="Z334" s="535"/>
      <c r="AA334" s="535"/>
      <c r="AB334" s="535"/>
      <c r="AC334" s="535"/>
      <c r="AD334" s="535">
        <f>CCBASE!$I$36*2</f>
        <v>191.630124</v>
      </c>
    </row>
    <row r="335" spans="1:30" x14ac:dyDescent="0.2">
      <c r="A335" s="533" t="s">
        <v>1097</v>
      </c>
      <c r="B335" s="533">
        <v>1000</v>
      </c>
      <c r="C335" s="533">
        <v>1500</v>
      </c>
      <c r="D335" s="533" t="str">
        <f t="shared" si="12"/>
        <v>CMWI10001500</v>
      </c>
      <c r="E335" s="907">
        <f t="shared" si="13"/>
        <v>1482.6787315000001</v>
      </c>
      <c r="F335" s="534">
        <v>20</v>
      </c>
      <c r="G335" s="535">
        <f>F335*CCBASE!$B$51</f>
        <v>720</v>
      </c>
      <c r="H335" s="535">
        <f>CCBASE!$I$12*B335/1000</f>
        <v>119.65053730000001</v>
      </c>
      <c r="I335" s="535"/>
      <c r="J335" s="535"/>
      <c r="K335" s="535"/>
      <c r="L335" s="535">
        <f>CCBASE!$I$14*B335/1000</f>
        <v>209.37365399999999</v>
      </c>
      <c r="M335" s="535"/>
      <c r="N335" s="535"/>
      <c r="O335" s="535">
        <f>CCBASE!$I$45*B335/1000</f>
        <v>9.9700000000000006</v>
      </c>
      <c r="P335" s="535"/>
      <c r="Q335" s="535">
        <f>CCBASE!$H$51</f>
        <v>5.16</v>
      </c>
      <c r="R335" s="535">
        <f>CCBASE!$I$4</f>
        <v>8.3986041999999994</v>
      </c>
      <c r="S335" s="535">
        <f>CCBASE!$I$8</f>
        <v>16.25526</v>
      </c>
      <c r="T335" s="535">
        <f>CCBASE!$I$44</f>
        <v>94.69</v>
      </c>
      <c r="U335" s="535"/>
      <c r="V335" s="535"/>
      <c r="W335" s="535">
        <f>CCBASE!$I$41*B335/1000</f>
        <v>59.051569999999998</v>
      </c>
      <c r="X335" s="535"/>
      <c r="Y335" s="535"/>
      <c r="Z335" s="535"/>
      <c r="AA335" s="535"/>
      <c r="AB335" s="535"/>
      <c r="AC335" s="535"/>
      <c r="AD335" s="535">
        <f>CCBASE!$I$37*2</f>
        <v>240.12910599999998</v>
      </c>
    </row>
    <row r="336" spans="1:30" x14ac:dyDescent="0.2">
      <c r="A336" s="533" t="s">
        <v>1097</v>
      </c>
      <c r="B336" s="533">
        <v>1250</v>
      </c>
      <c r="C336" s="533">
        <v>1500</v>
      </c>
      <c r="D336" s="533" t="str">
        <f t="shared" si="12"/>
        <v>CMWI12501500</v>
      </c>
      <c r="E336" s="907">
        <f t="shared" si="13"/>
        <v>1582.1901718250001</v>
      </c>
      <c r="F336" s="534">
        <v>20</v>
      </c>
      <c r="G336" s="535">
        <f>F336*CCBASE!$B$51</f>
        <v>720</v>
      </c>
      <c r="H336" s="535">
        <f>CCBASE!$I$12*B336/1000</f>
        <v>149.56317162500002</v>
      </c>
      <c r="I336" s="535"/>
      <c r="J336" s="535"/>
      <c r="K336" s="535"/>
      <c r="L336" s="535">
        <f>CCBASE!$I$14*B336/1000</f>
        <v>261.71706749999998</v>
      </c>
      <c r="M336" s="535"/>
      <c r="N336" s="535"/>
      <c r="O336" s="535">
        <f>CCBASE!$I$45*B336/1000</f>
        <v>12.4625</v>
      </c>
      <c r="P336" s="535"/>
      <c r="Q336" s="535">
        <f>CCBASE!$H$51</f>
        <v>5.16</v>
      </c>
      <c r="R336" s="535">
        <f>CCBASE!$I$4</f>
        <v>8.3986041999999994</v>
      </c>
      <c r="S336" s="535">
        <f>CCBASE!$I$8</f>
        <v>16.25526</v>
      </c>
      <c r="T336" s="535">
        <f>CCBASE!$I$44</f>
        <v>94.69</v>
      </c>
      <c r="U336" s="535"/>
      <c r="V336" s="535"/>
      <c r="W336" s="535">
        <f>CCBASE!$I$41*B336/1000</f>
        <v>73.814462499999991</v>
      </c>
      <c r="X336" s="535"/>
      <c r="Y336" s="535"/>
      <c r="Z336" s="535"/>
      <c r="AA336" s="535"/>
      <c r="AB336" s="535"/>
      <c r="AC336" s="535"/>
      <c r="AD336" s="535">
        <f>CCBASE!$I$37*2</f>
        <v>240.12910599999998</v>
      </c>
    </row>
    <row r="337" spans="1:30" x14ac:dyDescent="0.2">
      <c r="A337" s="533" t="s">
        <v>1097</v>
      </c>
      <c r="B337" s="533">
        <v>1500</v>
      </c>
      <c r="C337" s="533">
        <v>1500</v>
      </c>
      <c r="D337" s="533" t="str">
        <f t="shared" si="12"/>
        <v>CMWI15001500</v>
      </c>
      <c r="E337" s="907">
        <f t="shared" si="13"/>
        <v>1681.7016121499996</v>
      </c>
      <c r="F337" s="534">
        <v>20</v>
      </c>
      <c r="G337" s="535">
        <f>F337*CCBASE!$B$51</f>
        <v>720</v>
      </c>
      <c r="H337" s="535">
        <f>CCBASE!$I$12*B337/1000</f>
        <v>179.47580595000002</v>
      </c>
      <c r="I337" s="535"/>
      <c r="J337" s="535"/>
      <c r="K337" s="535"/>
      <c r="L337" s="535">
        <f>CCBASE!$I$14*B337/1000</f>
        <v>314.06048099999998</v>
      </c>
      <c r="M337" s="535"/>
      <c r="N337" s="535"/>
      <c r="O337" s="535">
        <f>CCBASE!$I$45*B337/1000</f>
        <v>14.955000000000002</v>
      </c>
      <c r="P337" s="535"/>
      <c r="Q337" s="535">
        <f>CCBASE!$H$51</f>
        <v>5.16</v>
      </c>
      <c r="R337" s="535">
        <f>CCBASE!$I$4</f>
        <v>8.3986041999999994</v>
      </c>
      <c r="S337" s="535">
        <f>CCBASE!$I$8</f>
        <v>16.25526</v>
      </c>
      <c r="T337" s="535">
        <f>CCBASE!$I$44</f>
        <v>94.69</v>
      </c>
      <c r="U337" s="535"/>
      <c r="V337" s="535"/>
      <c r="W337" s="535">
        <f>CCBASE!$I$41*B337/1000</f>
        <v>88.577354999999997</v>
      </c>
      <c r="X337" s="535"/>
      <c r="Y337" s="535"/>
      <c r="Z337" s="535"/>
      <c r="AA337" s="535"/>
      <c r="AB337" s="535"/>
      <c r="AC337" s="535"/>
      <c r="AD337" s="535">
        <f>CCBASE!$I$37*2</f>
        <v>240.12910599999998</v>
      </c>
    </row>
    <row r="338" spans="1:30" x14ac:dyDescent="0.2">
      <c r="A338" s="533" t="s">
        <v>1097</v>
      </c>
      <c r="B338" s="533">
        <v>1750</v>
      </c>
      <c r="C338" s="533">
        <v>1500</v>
      </c>
      <c r="D338" s="533" t="str">
        <f t="shared" si="12"/>
        <v>CMWI17501500</v>
      </c>
      <c r="E338" s="907">
        <f t="shared" si="13"/>
        <v>1781.213052475</v>
      </c>
      <c r="F338" s="534">
        <v>20</v>
      </c>
      <c r="G338" s="535">
        <f>F338*CCBASE!$B$51</f>
        <v>720</v>
      </c>
      <c r="H338" s="535">
        <f>CCBASE!$I$12*B338/1000</f>
        <v>209.38844027500002</v>
      </c>
      <c r="I338" s="535"/>
      <c r="J338" s="535"/>
      <c r="K338" s="535"/>
      <c r="L338" s="535">
        <f>CCBASE!$I$14*B338/1000</f>
        <v>366.40389449999998</v>
      </c>
      <c r="M338" s="535"/>
      <c r="N338" s="535"/>
      <c r="O338" s="535">
        <f>CCBASE!$I$45*B338/1000</f>
        <v>17.447500000000002</v>
      </c>
      <c r="P338" s="535"/>
      <c r="Q338" s="535">
        <f>CCBASE!$H$51</f>
        <v>5.16</v>
      </c>
      <c r="R338" s="535">
        <f>CCBASE!$I$4</f>
        <v>8.3986041999999994</v>
      </c>
      <c r="S338" s="535">
        <f>CCBASE!$I$8</f>
        <v>16.25526</v>
      </c>
      <c r="T338" s="535">
        <f>CCBASE!$I$44</f>
        <v>94.69</v>
      </c>
      <c r="U338" s="535"/>
      <c r="V338" s="535"/>
      <c r="W338" s="535">
        <f>CCBASE!$I$41*B338/1000</f>
        <v>103.3402475</v>
      </c>
      <c r="X338" s="535"/>
      <c r="Y338" s="535"/>
      <c r="Z338" s="535"/>
      <c r="AA338" s="535"/>
      <c r="AB338" s="535"/>
      <c r="AC338" s="535"/>
      <c r="AD338" s="535">
        <f>CCBASE!$I$37*2</f>
        <v>240.12910599999998</v>
      </c>
    </row>
    <row r="339" spans="1:30" x14ac:dyDescent="0.2">
      <c r="A339" s="533" t="s">
        <v>1097</v>
      </c>
      <c r="B339" s="533">
        <v>2000</v>
      </c>
      <c r="C339" s="533">
        <v>1500</v>
      </c>
      <c r="D339" s="533" t="str">
        <f t="shared" si="12"/>
        <v>CMWI20001500</v>
      </c>
      <c r="E339" s="907">
        <f t="shared" si="13"/>
        <v>1880.7244928</v>
      </c>
      <c r="F339" s="534">
        <v>20</v>
      </c>
      <c r="G339" s="535">
        <f>F339*CCBASE!$B$51</f>
        <v>720</v>
      </c>
      <c r="H339" s="535">
        <f>CCBASE!$I$12*B339/1000</f>
        <v>239.30107460000002</v>
      </c>
      <c r="I339" s="535"/>
      <c r="J339" s="535"/>
      <c r="K339" s="535"/>
      <c r="L339" s="535">
        <f>CCBASE!$I$14*B339/1000</f>
        <v>418.74730799999998</v>
      </c>
      <c r="M339" s="535"/>
      <c r="N339" s="535"/>
      <c r="O339" s="535">
        <f>CCBASE!$I$45*B339/1000</f>
        <v>19.940000000000001</v>
      </c>
      <c r="P339" s="535"/>
      <c r="Q339" s="535">
        <f>CCBASE!$H$51</f>
        <v>5.16</v>
      </c>
      <c r="R339" s="535">
        <f>CCBASE!$I$4</f>
        <v>8.3986041999999994</v>
      </c>
      <c r="S339" s="535">
        <f>CCBASE!$I$8</f>
        <v>16.25526</v>
      </c>
      <c r="T339" s="535">
        <f>CCBASE!$I$44</f>
        <v>94.69</v>
      </c>
      <c r="U339" s="535"/>
      <c r="V339" s="535"/>
      <c r="W339" s="535">
        <f>CCBASE!$I$41*B339/1000</f>
        <v>118.10314</v>
      </c>
      <c r="X339" s="535"/>
      <c r="Y339" s="535"/>
      <c r="Z339" s="535"/>
      <c r="AA339" s="535"/>
      <c r="AB339" s="535"/>
      <c r="AC339" s="535"/>
      <c r="AD339" s="535">
        <f>CCBASE!$I$37*2</f>
        <v>240.12910599999998</v>
      </c>
    </row>
    <row r="340" spans="1:30" x14ac:dyDescent="0.2">
      <c r="A340" s="533" t="s">
        <v>1097</v>
      </c>
      <c r="B340" s="533">
        <v>2250</v>
      </c>
      <c r="C340" s="533">
        <v>1500</v>
      </c>
      <c r="D340" s="533" t="str">
        <f t="shared" si="12"/>
        <v>CMWI22501500</v>
      </c>
      <c r="E340" s="907">
        <f t="shared" si="13"/>
        <v>2016.235933125</v>
      </c>
      <c r="F340" s="534">
        <v>21</v>
      </c>
      <c r="G340" s="535">
        <f>F340*CCBASE!$B$51</f>
        <v>756</v>
      </c>
      <c r="H340" s="535">
        <f>CCBASE!$I$12*B340/1000</f>
        <v>269.21370892500005</v>
      </c>
      <c r="I340" s="535"/>
      <c r="J340" s="535"/>
      <c r="K340" s="535"/>
      <c r="L340" s="535">
        <f>CCBASE!$I$14*B340/1000</f>
        <v>471.09072149999997</v>
      </c>
      <c r="M340" s="535"/>
      <c r="N340" s="535"/>
      <c r="O340" s="535">
        <f>CCBASE!$I$45*B340/1000</f>
        <v>22.432500000000001</v>
      </c>
      <c r="P340" s="535"/>
      <c r="Q340" s="535">
        <f>CCBASE!$H$51</f>
        <v>5.16</v>
      </c>
      <c r="R340" s="535">
        <f>CCBASE!$I$4</f>
        <v>8.3986041999999994</v>
      </c>
      <c r="S340" s="535">
        <f>CCBASE!$I$8</f>
        <v>16.25526</v>
      </c>
      <c r="T340" s="535">
        <f>CCBASE!$I$44</f>
        <v>94.69</v>
      </c>
      <c r="U340" s="535"/>
      <c r="V340" s="535"/>
      <c r="W340" s="535">
        <f>CCBASE!$I$41*B340/1000</f>
        <v>132.86603249999999</v>
      </c>
      <c r="X340" s="535"/>
      <c r="Y340" s="535"/>
      <c r="Z340" s="535"/>
      <c r="AA340" s="535"/>
      <c r="AB340" s="535"/>
      <c r="AC340" s="535"/>
      <c r="AD340" s="535">
        <f>CCBASE!$I$37*2</f>
        <v>240.12910599999998</v>
      </c>
    </row>
    <row r="341" spans="1:30" x14ac:dyDescent="0.2">
      <c r="A341" s="533" t="s">
        <v>1097</v>
      </c>
      <c r="B341" s="533">
        <v>2500</v>
      </c>
      <c r="C341" s="533">
        <v>1500</v>
      </c>
      <c r="D341" s="533" t="str">
        <f t="shared" si="12"/>
        <v>CMWI25001500</v>
      </c>
      <c r="E341" s="907">
        <f t="shared" si="13"/>
        <v>2115.7473734499999</v>
      </c>
      <c r="F341" s="534">
        <v>21</v>
      </c>
      <c r="G341" s="535">
        <f>F341*CCBASE!$B$51</f>
        <v>756</v>
      </c>
      <c r="H341" s="535">
        <f>CCBASE!$I$12*B341/1000</f>
        <v>299.12634325000005</v>
      </c>
      <c r="I341" s="535"/>
      <c r="J341" s="535"/>
      <c r="K341" s="535"/>
      <c r="L341" s="535">
        <f>CCBASE!$I$14*B341/1000</f>
        <v>523.43413499999997</v>
      </c>
      <c r="M341" s="535"/>
      <c r="N341" s="535"/>
      <c r="O341" s="535">
        <f>CCBASE!$I$45*B341/1000</f>
        <v>24.925000000000001</v>
      </c>
      <c r="P341" s="535"/>
      <c r="Q341" s="535">
        <f>CCBASE!$H$51</f>
        <v>5.16</v>
      </c>
      <c r="R341" s="535">
        <f>CCBASE!$I$4</f>
        <v>8.3986041999999994</v>
      </c>
      <c r="S341" s="535">
        <f>CCBASE!$I$8</f>
        <v>16.25526</v>
      </c>
      <c r="T341" s="535">
        <f>CCBASE!$I$44</f>
        <v>94.69</v>
      </c>
      <c r="U341" s="535"/>
      <c r="V341" s="535"/>
      <c r="W341" s="535">
        <f>CCBASE!$I$41*B341/1000</f>
        <v>147.62892499999998</v>
      </c>
      <c r="X341" s="535"/>
      <c r="Y341" s="535"/>
      <c r="Z341" s="535"/>
      <c r="AA341" s="535"/>
      <c r="AB341" s="535"/>
      <c r="AC341" s="535"/>
      <c r="AD341" s="535">
        <f>CCBASE!$I$37*2</f>
        <v>240.12910599999998</v>
      </c>
    </row>
    <row r="342" spans="1:30" x14ac:dyDescent="0.2">
      <c r="A342" s="533" t="s">
        <v>1097</v>
      </c>
      <c r="B342" s="533">
        <v>2750</v>
      </c>
      <c r="C342" s="533">
        <v>1500</v>
      </c>
      <c r="D342" s="533" t="str">
        <f t="shared" si="12"/>
        <v>CMWI27501500</v>
      </c>
      <c r="E342" s="907">
        <f t="shared" si="13"/>
        <v>2215.2588137749999</v>
      </c>
      <c r="F342" s="534">
        <v>21</v>
      </c>
      <c r="G342" s="535">
        <f>F342*CCBASE!$B$51</f>
        <v>756</v>
      </c>
      <c r="H342" s="535">
        <f>CCBASE!$I$12*B342/1000</f>
        <v>329.03897757500005</v>
      </c>
      <c r="I342" s="535"/>
      <c r="J342" s="535"/>
      <c r="K342" s="535"/>
      <c r="L342" s="535">
        <f>CCBASE!$I$14*B342/1000</f>
        <v>575.77754849999997</v>
      </c>
      <c r="M342" s="535"/>
      <c r="N342" s="535"/>
      <c r="O342" s="535">
        <f>CCBASE!$I$45*B342/1000</f>
        <v>27.4175</v>
      </c>
      <c r="P342" s="535"/>
      <c r="Q342" s="535">
        <f>CCBASE!$H$51</f>
        <v>5.16</v>
      </c>
      <c r="R342" s="535">
        <f>CCBASE!$I$4</f>
        <v>8.3986041999999994</v>
      </c>
      <c r="S342" s="535">
        <f>CCBASE!$I$8</f>
        <v>16.25526</v>
      </c>
      <c r="T342" s="535">
        <f>CCBASE!$I$44</f>
        <v>94.69</v>
      </c>
      <c r="U342" s="535"/>
      <c r="V342" s="535"/>
      <c r="W342" s="535">
        <f>CCBASE!$I$41*B342/1000</f>
        <v>162.3918175</v>
      </c>
      <c r="X342" s="535"/>
      <c r="Y342" s="535"/>
      <c r="Z342" s="535"/>
      <c r="AA342" s="535"/>
      <c r="AB342" s="535"/>
      <c r="AC342" s="535"/>
      <c r="AD342" s="535">
        <f>CCBASE!$I$37*2</f>
        <v>240.12910599999998</v>
      </c>
    </row>
    <row r="343" spans="1:30" x14ac:dyDescent="0.2">
      <c r="A343" s="533" t="s">
        <v>1097</v>
      </c>
      <c r="B343" s="533">
        <v>3000</v>
      </c>
      <c r="C343" s="533">
        <v>1500</v>
      </c>
      <c r="D343" s="533" t="str">
        <f t="shared" si="12"/>
        <v>CMWI30001500</v>
      </c>
      <c r="E343" s="907">
        <f t="shared" si="13"/>
        <v>2314.7702540999999</v>
      </c>
      <c r="F343" s="534">
        <v>21</v>
      </c>
      <c r="G343" s="535">
        <f>F343*CCBASE!$B$51</f>
        <v>756</v>
      </c>
      <c r="H343" s="535">
        <f>CCBASE!$I$12*B343/1000</f>
        <v>358.95161190000005</v>
      </c>
      <c r="I343" s="535"/>
      <c r="J343" s="535"/>
      <c r="K343" s="535"/>
      <c r="L343" s="535">
        <f>CCBASE!$I$14*B343/1000</f>
        <v>628.12096199999996</v>
      </c>
      <c r="M343" s="535"/>
      <c r="N343" s="535"/>
      <c r="O343" s="535">
        <f>CCBASE!$I$45*B343/1000</f>
        <v>29.910000000000004</v>
      </c>
      <c r="P343" s="535"/>
      <c r="Q343" s="535">
        <f>CCBASE!$H$51</f>
        <v>5.16</v>
      </c>
      <c r="R343" s="535">
        <f>CCBASE!$I$4</f>
        <v>8.3986041999999994</v>
      </c>
      <c r="S343" s="535">
        <f>CCBASE!$I$8</f>
        <v>16.25526</v>
      </c>
      <c r="T343" s="535">
        <f>CCBASE!$I$44</f>
        <v>94.69</v>
      </c>
      <c r="U343" s="535"/>
      <c r="V343" s="535"/>
      <c r="W343" s="535">
        <f>CCBASE!$I$41*B343/1000</f>
        <v>177.15470999999999</v>
      </c>
      <c r="X343" s="535"/>
      <c r="Y343" s="535"/>
      <c r="Z343" s="535"/>
      <c r="AA343" s="535"/>
      <c r="AB343" s="535"/>
      <c r="AC343" s="535"/>
      <c r="AD343" s="535">
        <f>CCBASE!$I$37*2</f>
        <v>240.12910599999998</v>
      </c>
    </row>
    <row r="344" spans="1:30" x14ac:dyDescent="0.2">
      <c r="A344" s="533" t="s">
        <v>1097</v>
      </c>
      <c r="B344" s="533">
        <v>1000</v>
      </c>
      <c r="C344" s="533">
        <v>1750</v>
      </c>
      <c r="D344" s="533" t="str">
        <f t="shared" si="12"/>
        <v>CMWI10001750</v>
      </c>
      <c r="E344" s="907">
        <f t="shared" si="13"/>
        <v>1526.4461054999999</v>
      </c>
      <c r="F344" s="534">
        <v>20</v>
      </c>
      <c r="G344" s="535">
        <f>F344*CCBASE!$B$51</f>
        <v>720</v>
      </c>
      <c r="H344" s="535">
        <f>CCBASE!$I$12*B344/1000</f>
        <v>119.65053730000001</v>
      </c>
      <c r="I344" s="535"/>
      <c r="J344" s="535"/>
      <c r="K344" s="535"/>
      <c r="L344" s="535">
        <f>CCBASE!$I$14*B344/1000</f>
        <v>209.37365399999999</v>
      </c>
      <c r="M344" s="535"/>
      <c r="N344" s="535"/>
      <c r="O344" s="535">
        <f>CCBASE!$I$45*B344/1000</f>
        <v>9.9700000000000006</v>
      </c>
      <c r="P344" s="535"/>
      <c r="Q344" s="535">
        <f>CCBASE!$H$51</f>
        <v>5.16</v>
      </c>
      <c r="R344" s="535">
        <f>CCBASE!$I$4</f>
        <v>8.3986041999999994</v>
      </c>
      <c r="S344" s="535">
        <f>CCBASE!$I$8</f>
        <v>16.25526</v>
      </c>
      <c r="T344" s="535">
        <f>CCBASE!$I$44</f>
        <v>94.69</v>
      </c>
      <c r="U344" s="534"/>
      <c r="V344" s="534"/>
      <c r="W344" s="535">
        <f>CCBASE!$I$42*B344/1000</f>
        <v>70.880589999999998</v>
      </c>
      <c r="X344" s="535"/>
      <c r="Y344" s="535"/>
      <c r="Z344" s="535"/>
      <c r="AA344" s="535"/>
      <c r="AB344" s="535"/>
      <c r="AC344" s="535"/>
      <c r="AD344" s="535">
        <f>CCBASE!$I$38*2</f>
        <v>272.06745999999998</v>
      </c>
    </row>
    <row r="345" spans="1:30" x14ac:dyDescent="0.2">
      <c r="A345" s="533" t="s">
        <v>1097</v>
      </c>
      <c r="B345" s="533">
        <v>1250</v>
      </c>
      <c r="C345" s="533">
        <v>1750</v>
      </c>
      <c r="D345" s="533" t="str">
        <f t="shared" si="12"/>
        <v>CMWI12501750</v>
      </c>
      <c r="E345" s="907">
        <f t="shared" si="13"/>
        <v>1628.9148008249999</v>
      </c>
      <c r="F345" s="534">
        <v>20</v>
      </c>
      <c r="G345" s="535">
        <f>F345*CCBASE!$B$51</f>
        <v>720</v>
      </c>
      <c r="H345" s="535">
        <f>CCBASE!$I$12*B345/1000</f>
        <v>149.56317162500002</v>
      </c>
      <c r="I345" s="535"/>
      <c r="J345" s="535"/>
      <c r="K345" s="535"/>
      <c r="L345" s="535">
        <f>CCBASE!$I$14*B345/1000</f>
        <v>261.71706749999998</v>
      </c>
      <c r="M345" s="535"/>
      <c r="N345" s="535"/>
      <c r="O345" s="535">
        <f>CCBASE!$I$45*B345/1000</f>
        <v>12.4625</v>
      </c>
      <c r="P345" s="535"/>
      <c r="Q345" s="535">
        <f>CCBASE!$H$51</f>
        <v>5.16</v>
      </c>
      <c r="R345" s="535">
        <f>CCBASE!$I$4</f>
        <v>8.3986041999999994</v>
      </c>
      <c r="S345" s="535">
        <f>CCBASE!$I$8</f>
        <v>16.25526</v>
      </c>
      <c r="T345" s="535">
        <f>CCBASE!$I$44</f>
        <v>94.69</v>
      </c>
      <c r="U345" s="534"/>
      <c r="V345" s="534"/>
      <c r="W345" s="535">
        <f>CCBASE!$I$42*B345/1000</f>
        <v>88.600737500000008</v>
      </c>
      <c r="X345" s="535"/>
      <c r="Y345" s="535"/>
      <c r="Z345" s="535"/>
      <c r="AA345" s="535"/>
      <c r="AB345" s="535"/>
      <c r="AC345" s="535"/>
      <c r="AD345" s="535">
        <f>CCBASE!$I$38*2</f>
        <v>272.06745999999998</v>
      </c>
    </row>
    <row r="346" spans="1:30" x14ac:dyDescent="0.2">
      <c r="A346" s="533" t="s">
        <v>1097</v>
      </c>
      <c r="B346" s="533">
        <v>1500</v>
      </c>
      <c r="C346" s="533">
        <v>1750</v>
      </c>
      <c r="D346" s="533" t="str">
        <f t="shared" si="12"/>
        <v>CMWI15001750</v>
      </c>
      <c r="E346" s="907">
        <f t="shared" si="13"/>
        <v>1731.3834961499999</v>
      </c>
      <c r="F346" s="534">
        <v>20</v>
      </c>
      <c r="G346" s="535">
        <f>F346*CCBASE!$B$51</f>
        <v>720</v>
      </c>
      <c r="H346" s="535">
        <f>CCBASE!$I$12*B346/1000</f>
        <v>179.47580595000002</v>
      </c>
      <c r="I346" s="535"/>
      <c r="J346" s="535"/>
      <c r="K346" s="535"/>
      <c r="L346" s="535">
        <f>CCBASE!$I$14*B346/1000</f>
        <v>314.06048099999998</v>
      </c>
      <c r="M346" s="535"/>
      <c r="N346" s="535"/>
      <c r="O346" s="535">
        <f>CCBASE!$I$45*B346/1000</f>
        <v>14.955000000000002</v>
      </c>
      <c r="P346" s="535"/>
      <c r="Q346" s="535">
        <f>CCBASE!$H$51</f>
        <v>5.16</v>
      </c>
      <c r="R346" s="535">
        <f>CCBASE!$I$4</f>
        <v>8.3986041999999994</v>
      </c>
      <c r="S346" s="535">
        <f>CCBASE!$I$8</f>
        <v>16.25526</v>
      </c>
      <c r="T346" s="535">
        <f>CCBASE!$I$44</f>
        <v>94.69</v>
      </c>
      <c r="U346" s="534"/>
      <c r="V346" s="534"/>
      <c r="W346" s="535">
        <f>CCBASE!$I$42*B346/1000</f>
        <v>106.32088499999999</v>
      </c>
      <c r="X346" s="535"/>
      <c r="Y346" s="535"/>
      <c r="Z346" s="535"/>
      <c r="AA346" s="535"/>
      <c r="AB346" s="535"/>
      <c r="AC346" s="535"/>
      <c r="AD346" s="535">
        <f>CCBASE!$I$38*2</f>
        <v>272.06745999999998</v>
      </c>
    </row>
    <row r="347" spans="1:30" x14ac:dyDescent="0.2">
      <c r="A347" s="533" t="s">
        <v>1097</v>
      </c>
      <c r="B347" s="533">
        <v>1750</v>
      </c>
      <c r="C347" s="533">
        <v>1750</v>
      </c>
      <c r="D347" s="533" t="str">
        <f t="shared" si="12"/>
        <v>CMWI17501750</v>
      </c>
      <c r="E347" s="907">
        <f t="shared" si="13"/>
        <v>1833.8521914749999</v>
      </c>
      <c r="F347" s="534">
        <v>20</v>
      </c>
      <c r="G347" s="535">
        <f>F347*CCBASE!$B$51</f>
        <v>720</v>
      </c>
      <c r="H347" s="535">
        <f>CCBASE!$I$12*B347/1000</f>
        <v>209.38844027500002</v>
      </c>
      <c r="I347" s="535"/>
      <c r="J347" s="535"/>
      <c r="K347" s="535"/>
      <c r="L347" s="535">
        <f>CCBASE!$I$14*B347/1000</f>
        <v>366.40389449999998</v>
      </c>
      <c r="M347" s="535"/>
      <c r="N347" s="535"/>
      <c r="O347" s="535">
        <f>CCBASE!$I$45*B347/1000</f>
        <v>17.447500000000002</v>
      </c>
      <c r="P347" s="535"/>
      <c r="Q347" s="535">
        <f>CCBASE!$H$51</f>
        <v>5.16</v>
      </c>
      <c r="R347" s="535">
        <f>CCBASE!$I$4</f>
        <v>8.3986041999999994</v>
      </c>
      <c r="S347" s="535">
        <f>CCBASE!$I$8</f>
        <v>16.25526</v>
      </c>
      <c r="T347" s="535">
        <f>CCBASE!$I$44</f>
        <v>94.69</v>
      </c>
      <c r="U347" s="534"/>
      <c r="V347" s="534"/>
      <c r="W347" s="535">
        <f>CCBASE!$I$42*B347/1000</f>
        <v>124.0410325</v>
      </c>
      <c r="X347" s="535"/>
      <c r="Y347" s="535"/>
      <c r="Z347" s="535"/>
      <c r="AA347" s="535"/>
      <c r="AB347" s="535"/>
      <c r="AC347" s="535"/>
      <c r="AD347" s="535">
        <f>CCBASE!$I$38*2</f>
        <v>272.06745999999998</v>
      </c>
    </row>
    <row r="348" spans="1:30" x14ac:dyDescent="0.2">
      <c r="A348" s="533" t="s">
        <v>1097</v>
      </c>
      <c r="B348" s="533">
        <v>2000</v>
      </c>
      <c r="C348" s="533">
        <v>1750</v>
      </c>
      <c r="D348" s="533" t="str">
        <f t="shared" si="12"/>
        <v>CMWI20001750</v>
      </c>
      <c r="E348" s="907">
        <f t="shared" si="13"/>
        <v>1936.3208867999999</v>
      </c>
      <c r="F348" s="534">
        <v>20</v>
      </c>
      <c r="G348" s="535">
        <f>F348*CCBASE!$B$51</f>
        <v>720</v>
      </c>
      <c r="H348" s="535">
        <f>CCBASE!$I$12*B348/1000</f>
        <v>239.30107460000002</v>
      </c>
      <c r="I348" s="535"/>
      <c r="J348" s="535"/>
      <c r="K348" s="535"/>
      <c r="L348" s="535">
        <f>CCBASE!$I$14*B348/1000</f>
        <v>418.74730799999998</v>
      </c>
      <c r="M348" s="535"/>
      <c r="N348" s="535"/>
      <c r="O348" s="535">
        <f>CCBASE!$I$45*B348/1000</f>
        <v>19.940000000000001</v>
      </c>
      <c r="P348" s="535"/>
      <c r="Q348" s="535">
        <f>CCBASE!$H$51</f>
        <v>5.16</v>
      </c>
      <c r="R348" s="535">
        <f>CCBASE!$I$4</f>
        <v>8.3986041999999994</v>
      </c>
      <c r="S348" s="535">
        <f>CCBASE!$I$8</f>
        <v>16.25526</v>
      </c>
      <c r="T348" s="535">
        <f>CCBASE!$I$44</f>
        <v>94.69</v>
      </c>
      <c r="U348" s="534"/>
      <c r="V348" s="534"/>
      <c r="W348" s="535">
        <f>CCBASE!$I$42*B348/1000</f>
        <v>141.76118</v>
      </c>
      <c r="X348" s="535"/>
      <c r="Y348" s="535"/>
      <c r="Z348" s="535"/>
      <c r="AA348" s="535"/>
      <c r="AB348" s="535"/>
      <c r="AC348" s="535"/>
      <c r="AD348" s="535">
        <f>CCBASE!$I$38*2</f>
        <v>272.06745999999998</v>
      </c>
    </row>
    <row r="349" spans="1:30" x14ac:dyDescent="0.2">
      <c r="A349" s="533" t="s">
        <v>1097</v>
      </c>
      <c r="B349" s="533">
        <v>2250</v>
      </c>
      <c r="C349" s="533">
        <v>1750</v>
      </c>
      <c r="D349" s="533" t="str">
        <f t="shared" si="12"/>
        <v>CMWI22501750</v>
      </c>
      <c r="E349" s="907">
        <f t="shared" si="13"/>
        <v>2074.7895821249995</v>
      </c>
      <c r="F349" s="534">
        <v>21</v>
      </c>
      <c r="G349" s="535">
        <f>F349*CCBASE!$B$51</f>
        <v>756</v>
      </c>
      <c r="H349" s="535">
        <f>CCBASE!$I$12*B349/1000</f>
        <v>269.21370892500005</v>
      </c>
      <c r="I349" s="535"/>
      <c r="J349" s="535"/>
      <c r="K349" s="535"/>
      <c r="L349" s="535">
        <f>CCBASE!$I$14*B349/1000</f>
        <v>471.09072149999997</v>
      </c>
      <c r="M349" s="535"/>
      <c r="N349" s="535"/>
      <c r="O349" s="535">
        <f>CCBASE!$I$45*B349/1000</f>
        <v>22.432500000000001</v>
      </c>
      <c r="P349" s="535"/>
      <c r="Q349" s="535">
        <f>CCBASE!$H$51</f>
        <v>5.16</v>
      </c>
      <c r="R349" s="535">
        <f>CCBASE!$I$4</f>
        <v>8.3986041999999994</v>
      </c>
      <c r="S349" s="535">
        <f>CCBASE!$I$8</f>
        <v>16.25526</v>
      </c>
      <c r="T349" s="535">
        <f>CCBASE!$I$44</f>
        <v>94.69</v>
      </c>
      <c r="U349" s="534"/>
      <c r="V349" s="534"/>
      <c r="W349" s="535">
        <f>CCBASE!$I$42*B349/1000</f>
        <v>159.48132749999999</v>
      </c>
      <c r="X349" s="535"/>
      <c r="Y349" s="535"/>
      <c r="Z349" s="535"/>
      <c r="AA349" s="535"/>
      <c r="AB349" s="535"/>
      <c r="AC349" s="535"/>
      <c r="AD349" s="535">
        <f>CCBASE!$I$38*2</f>
        <v>272.06745999999998</v>
      </c>
    </row>
    <row r="350" spans="1:30" x14ac:dyDescent="0.2">
      <c r="A350" s="533" t="s">
        <v>1097</v>
      </c>
      <c r="B350" s="533">
        <v>2500</v>
      </c>
      <c r="C350" s="533">
        <v>1750</v>
      </c>
      <c r="D350" s="533" t="str">
        <f t="shared" si="12"/>
        <v>CMWI25001750</v>
      </c>
      <c r="E350" s="907">
        <f t="shared" si="13"/>
        <v>2177.2582774499997</v>
      </c>
      <c r="F350" s="534">
        <v>21</v>
      </c>
      <c r="G350" s="535">
        <f>F350*CCBASE!$B$51</f>
        <v>756</v>
      </c>
      <c r="H350" s="535">
        <f>CCBASE!$I$12*B350/1000</f>
        <v>299.12634325000005</v>
      </c>
      <c r="I350" s="535"/>
      <c r="J350" s="535"/>
      <c r="K350" s="535"/>
      <c r="L350" s="535">
        <f>CCBASE!$I$14*B350/1000</f>
        <v>523.43413499999997</v>
      </c>
      <c r="M350" s="535"/>
      <c r="N350" s="535"/>
      <c r="O350" s="535">
        <f>CCBASE!$I$45*B350/1000</f>
        <v>24.925000000000001</v>
      </c>
      <c r="P350" s="535"/>
      <c r="Q350" s="535">
        <f>CCBASE!$H$51</f>
        <v>5.16</v>
      </c>
      <c r="R350" s="535">
        <f>CCBASE!$I$4</f>
        <v>8.3986041999999994</v>
      </c>
      <c r="S350" s="535">
        <f>CCBASE!$I$8</f>
        <v>16.25526</v>
      </c>
      <c r="T350" s="535">
        <f>CCBASE!$I$44</f>
        <v>94.69</v>
      </c>
      <c r="U350" s="534"/>
      <c r="V350" s="534"/>
      <c r="W350" s="535">
        <f>CCBASE!$I$42*B350/1000</f>
        <v>177.20147500000002</v>
      </c>
      <c r="X350" s="535"/>
      <c r="Y350" s="535"/>
      <c r="Z350" s="535"/>
      <c r="AA350" s="535"/>
      <c r="AB350" s="535"/>
      <c r="AC350" s="535"/>
      <c r="AD350" s="535">
        <f>CCBASE!$I$38*2</f>
        <v>272.06745999999998</v>
      </c>
    </row>
    <row r="351" spans="1:30" x14ac:dyDescent="0.2">
      <c r="A351" s="533" t="s">
        <v>1097</v>
      </c>
      <c r="B351" s="533">
        <v>2750</v>
      </c>
      <c r="C351" s="533">
        <v>1750</v>
      </c>
      <c r="D351" s="533" t="str">
        <f t="shared" si="12"/>
        <v>CMWI27501750</v>
      </c>
      <c r="E351" s="907">
        <f t="shared" si="13"/>
        <v>2279.7269727749999</v>
      </c>
      <c r="F351" s="534">
        <v>21</v>
      </c>
      <c r="G351" s="535">
        <f>F351*CCBASE!$B$51</f>
        <v>756</v>
      </c>
      <c r="H351" s="535">
        <f>CCBASE!$I$12*B351/1000</f>
        <v>329.03897757500005</v>
      </c>
      <c r="I351" s="535"/>
      <c r="J351" s="535"/>
      <c r="K351" s="535"/>
      <c r="L351" s="535">
        <f>CCBASE!$I$14*B351/1000</f>
        <v>575.77754849999997</v>
      </c>
      <c r="M351" s="535"/>
      <c r="N351" s="535"/>
      <c r="O351" s="535">
        <f>CCBASE!$I$45*B351/1000</f>
        <v>27.4175</v>
      </c>
      <c r="P351" s="535"/>
      <c r="Q351" s="535">
        <f>CCBASE!$H$51</f>
        <v>5.16</v>
      </c>
      <c r="R351" s="535">
        <f>CCBASE!$I$4</f>
        <v>8.3986041999999994</v>
      </c>
      <c r="S351" s="535">
        <f>CCBASE!$I$8</f>
        <v>16.25526</v>
      </c>
      <c r="T351" s="535">
        <f>CCBASE!$I$44</f>
        <v>94.69</v>
      </c>
      <c r="U351" s="534"/>
      <c r="V351" s="534"/>
      <c r="W351" s="535">
        <f>CCBASE!$I$42*B351/1000</f>
        <v>194.92162249999998</v>
      </c>
      <c r="X351" s="535"/>
      <c r="Y351" s="535"/>
      <c r="Z351" s="535"/>
      <c r="AA351" s="535"/>
      <c r="AB351" s="535"/>
      <c r="AC351" s="535"/>
      <c r="AD351" s="535">
        <f>CCBASE!$I$38*2</f>
        <v>272.06745999999998</v>
      </c>
    </row>
    <row r="352" spans="1:30" x14ac:dyDescent="0.2">
      <c r="A352" s="533" t="s">
        <v>1097</v>
      </c>
      <c r="B352" s="533">
        <v>3000</v>
      </c>
      <c r="C352" s="533">
        <v>1750</v>
      </c>
      <c r="D352" s="533" t="str">
        <f t="shared" si="12"/>
        <v>CMWI30001750</v>
      </c>
      <c r="E352" s="907">
        <f t="shared" si="13"/>
        <v>2382.1956681000001</v>
      </c>
      <c r="F352" s="534">
        <v>21</v>
      </c>
      <c r="G352" s="535">
        <f>F352*CCBASE!$B$51</f>
        <v>756</v>
      </c>
      <c r="H352" s="535">
        <f>CCBASE!$I$12*B352/1000</f>
        <v>358.95161190000005</v>
      </c>
      <c r="I352" s="535"/>
      <c r="J352" s="535"/>
      <c r="K352" s="535"/>
      <c r="L352" s="535">
        <f>CCBASE!$I$14*B352/1000</f>
        <v>628.12096199999996</v>
      </c>
      <c r="M352" s="535"/>
      <c r="N352" s="535"/>
      <c r="O352" s="535">
        <f>CCBASE!$I$45*B352/1000</f>
        <v>29.910000000000004</v>
      </c>
      <c r="P352" s="535"/>
      <c r="Q352" s="535">
        <f>CCBASE!$H$51</f>
        <v>5.16</v>
      </c>
      <c r="R352" s="535">
        <f>CCBASE!$I$4</f>
        <v>8.3986041999999994</v>
      </c>
      <c r="S352" s="535">
        <f>CCBASE!$I$8</f>
        <v>16.25526</v>
      </c>
      <c r="T352" s="535">
        <f>CCBASE!$I$44</f>
        <v>94.69</v>
      </c>
      <c r="U352" s="534"/>
      <c r="V352" s="534"/>
      <c r="W352" s="535">
        <f>CCBASE!$I$42*B352/1000</f>
        <v>212.64176999999998</v>
      </c>
      <c r="X352" s="535"/>
      <c r="Y352" s="535"/>
      <c r="Z352" s="535"/>
      <c r="AA352" s="535"/>
      <c r="AB352" s="535"/>
      <c r="AC352" s="535"/>
      <c r="AD352" s="535">
        <f>CCBASE!$I$38*2</f>
        <v>272.06745999999998</v>
      </c>
    </row>
    <row r="353" spans="1:30" x14ac:dyDescent="0.2">
      <c r="A353" s="533" t="s">
        <v>1097</v>
      </c>
      <c r="B353" s="533">
        <v>1000</v>
      </c>
      <c r="C353" s="533">
        <v>2000</v>
      </c>
      <c r="D353" s="533" t="str">
        <f t="shared" si="12"/>
        <v>CMWI10002000</v>
      </c>
      <c r="E353" s="907">
        <f t="shared" si="13"/>
        <v>1544.1896354999999</v>
      </c>
      <c r="F353" s="534">
        <v>20</v>
      </c>
      <c r="G353" s="535">
        <f>F353*CCBASE!$B$51</f>
        <v>720</v>
      </c>
      <c r="H353" s="535">
        <f>CCBASE!$I$12*B353/1000</f>
        <v>119.65053730000001</v>
      </c>
      <c r="I353" s="535"/>
      <c r="J353" s="535"/>
      <c r="K353" s="535"/>
      <c r="L353" s="535">
        <f>CCBASE!$I$14*B353/1000</f>
        <v>209.37365399999999</v>
      </c>
      <c r="M353" s="535"/>
      <c r="N353" s="535"/>
      <c r="O353" s="535">
        <f>CCBASE!$I$45*B353/1000</f>
        <v>9.9700000000000006</v>
      </c>
      <c r="P353" s="535"/>
      <c r="Q353" s="535">
        <f>CCBASE!$H$51</f>
        <v>5.16</v>
      </c>
      <c r="R353" s="535">
        <f>CCBASE!$I$4</f>
        <v>8.3986041999999994</v>
      </c>
      <c r="S353" s="535">
        <f>CCBASE!$I$8</f>
        <v>16.25526</v>
      </c>
      <c r="T353" s="535">
        <f>CCBASE!$I$44</f>
        <v>94.69</v>
      </c>
      <c r="U353" s="534"/>
      <c r="V353" s="534"/>
      <c r="W353" s="535">
        <f>CCBASE!$I$43*B353/1000</f>
        <v>88.624119999999991</v>
      </c>
      <c r="X353" s="535"/>
      <c r="Y353" s="535"/>
      <c r="Z353" s="535"/>
      <c r="AA353" s="535"/>
      <c r="AB353" s="535"/>
      <c r="AC353" s="535"/>
      <c r="AD353" s="535">
        <f>CCBASE!$I$38*2</f>
        <v>272.06745999999998</v>
      </c>
    </row>
    <row r="354" spans="1:30" x14ac:dyDescent="0.2">
      <c r="A354" s="533" t="s">
        <v>1097</v>
      </c>
      <c r="B354" s="533">
        <v>1250</v>
      </c>
      <c r="C354" s="533">
        <v>2000</v>
      </c>
      <c r="D354" s="533" t="str">
        <f t="shared" si="12"/>
        <v>CMWI12502000</v>
      </c>
      <c r="E354" s="907">
        <f t="shared" si="13"/>
        <v>1651.0942133250001</v>
      </c>
      <c r="F354" s="534">
        <v>20</v>
      </c>
      <c r="G354" s="535">
        <f>F354*CCBASE!$B$51</f>
        <v>720</v>
      </c>
      <c r="H354" s="535">
        <f>CCBASE!$I$12*B354/1000</f>
        <v>149.56317162500002</v>
      </c>
      <c r="I354" s="535"/>
      <c r="J354" s="535"/>
      <c r="K354" s="535"/>
      <c r="L354" s="535">
        <f>CCBASE!$I$14*B354/1000</f>
        <v>261.71706749999998</v>
      </c>
      <c r="M354" s="535"/>
      <c r="N354" s="535"/>
      <c r="O354" s="535">
        <f>CCBASE!$I$45*B354/1000</f>
        <v>12.4625</v>
      </c>
      <c r="P354" s="535"/>
      <c r="Q354" s="535">
        <f>CCBASE!$H$51</f>
        <v>5.16</v>
      </c>
      <c r="R354" s="535">
        <f>CCBASE!$I$4</f>
        <v>8.3986041999999994</v>
      </c>
      <c r="S354" s="535">
        <f>CCBASE!$I$8</f>
        <v>16.25526</v>
      </c>
      <c r="T354" s="535">
        <f>CCBASE!$I$44</f>
        <v>94.69</v>
      </c>
      <c r="U354" s="534"/>
      <c r="V354" s="534"/>
      <c r="W354" s="535">
        <f>CCBASE!$I$43*B354/1000</f>
        <v>110.78014999999999</v>
      </c>
      <c r="X354" s="535"/>
      <c r="Y354" s="535"/>
      <c r="Z354" s="535"/>
      <c r="AA354" s="535"/>
      <c r="AB354" s="535"/>
      <c r="AC354" s="535"/>
      <c r="AD354" s="535">
        <f>CCBASE!$I$38*2</f>
        <v>272.06745999999998</v>
      </c>
    </row>
    <row r="355" spans="1:30" x14ac:dyDescent="0.2">
      <c r="A355" s="533" t="s">
        <v>1097</v>
      </c>
      <c r="B355" s="533">
        <v>1500</v>
      </c>
      <c r="C355" s="533">
        <v>2000</v>
      </c>
      <c r="D355" s="533" t="str">
        <f t="shared" si="12"/>
        <v>CMWI15002000</v>
      </c>
      <c r="E355" s="907">
        <f t="shared" si="13"/>
        <v>1757.9987911499998</v>
      </c>
      <c r="F355" s="534">
        <v>20</v>
      </c>
      <c r="G355" s="535">
        <f>F355*CCBASE!$B$51</f>
        <v>720</v>
      </c>
      <c r="H355" s="535">
        <f>CCBASE!$I$12*B355/1000</f>
        <v>179.47580595000002</v>
      </c>
      <c r="I355" s="535"/>
      <c r="J355" s="535"/>
      <c r="K355" s="535"/>
      <c r="L355" s="535">
        <f>CCBASE!$I$14*B355/1000</f>
        <v>314.06048099999998</v>
      </c>
      <c r="M355" s="535"/>
      <c r="N355" s="535"/>
      <c r="O355" s="535">
        <f>CCBASE!$I$45*B355/1000</f>
        <v>14.955000000000002</v>
      </c>
      <c r="P355" s="535"/>
      <c r="Q355" s="535">
        <f>CCBASE!$H$51</f>
        <v>5.16</v>
      </c>
      <c r="R355" s="535">
        <f>CCBASE!$I$4</f>
        <v>8.3986041999999994</v>
      </c>
      <c r="S355" s="535">
        <f>CCBASE!$I$8</f>
        <v>16.25526</v>
      </c>
      <c r="T355" s="535">
        <f>CCBASE!$I$44</f>
        <v>94.69</v>
      </c>
      <c r="U355" s="534"/>
      <c r="V355" s="534"/>
      <c r="W355" s="535">
        <f>CCBASE!$I$43*B355/1000</f>
        <v>132.93617999999998</v>
      </c>
      <c r="X355" s="535"/>
      <c r="Y355" s="535"/>
      <c r="Z355" s="535"/>
      <c r="AA355" s="535"/>
      <c r="AB355" s="535"/>
      <c r="AC355" s="535"/>
      <c r="AD355" s="535">
        <f>CCBASE!$I$38*2</f>
        <v>272.06745999999998</v>
      </c>
    </row>
    <row r="356" spans="1:30" x14ac:dyDescent="0.2">
      <c r="A356" s="533" t="s">
        <v>1097</v>
      </c>
      <c r="B356" s="533">
        <v>1750</v>
      </c>
      <c r="C356" s="533">
        <v>2000</v>
      </c>
      <c r="D356" s="533" t="str">
        <f t="shared" si="12"/>
        <v>CMWI17502000</v>
      </c>
      <c r="E356" s="907">
        <f t="shared" si="13"/>
        <v>1864.9033689749999</v>
      </c>
      <c r="F356" s="534">
        <v>20</v>
      </c>
      <c r="G356" s="535">
        <f>F356*CCBASE!$B$51</f>
        <v>720</v>
      </c>
      <c r="H356" s="535">
        <f>CCBASE!$I$12*B356/1000</f>
        <v>209.38844027500002</v>
      </c>
      <c r="I356" s="535"/>
      <c r="J356" s="535"/>
      <c r="K356" s="535"/>
      <c r="L356" s="535">
        <f>CCBASE!$I$14*B356/1000</f>
        <v>366.40389449999998</v>
      </c>
      <c r="M356" s="535"/>
      <c r="N356" s="535"/>
      <c r="O356" s="535">
        <f>CCBASE!$I$45*B356/1000</f>
        <v>17.447500000000002</v>
      </c>
      <c r="P356" s="535"/>
      <c r="Q356" s="535">
        <f>CCBASE!$H$51</f>
        <v>5.16</v>
      </c>
      <c r="R356" s="535">
        <f>CCBASE!$I$4</f>
        <v>8.3986041999999994</v>
      </c>
      <c r="S356" s="535">
        <f>CCBASE!$I$8</f>
        <v>16.25526</v>
      </c>
      <c r="T356" s="535">
        <f>CCBASE!$I$44</f>
        <v>94.69</v>
      </c>
      <c r="U356" s="534"/>
      <c r="V356" s="534"/>
      <c r="W356" s="535">
        <f>CCBASE!$I$43*B356/1000</f>
        <v>155.09220999999999</v>
      </c>
      <c r="X356" s="535"/>
      <c r="Y356" s="535"/>
      <c r="Z356" s="535"/>
      <c r="AA356" s="535"/>
      <c r="AB356" s="535"/>
      <c r="AC356" s="535"/>
      <c r="AD356" s="535">
        <f>CCBASE!$I$38*2</f>
        <v>272.06745999999998</v>
      </c>
    </row>
    <row r="357" spans="1:30" x14ac:dyDescent="0.2">
      <c r="A357" s="533" t="s">
        <v>1097</v>
      </c>
      <c r="B357" s="533">
        <v>2000</v>
      </c>
      <c r="C357" s="533">
        <v>2000</v>
      </c>
      <c r="D357" s="533" t="str">
        <f t="shared" si="12"/>
        <v>CMWI20002000</v>
      </c>
      <c r="E357" s="907">
        <f t="shared" si="13"/>
        <v>1971.8079467999999</v>
      </c>
      <c r="F357" s="534">
        <v>20</v>
      </c>
      <c r="G357" s="535">
        <f>F357*CCBASE!$B$51</f>
        <v>720</v>
      </c>
      <c r="H357" s="535">
        <f>CCBASE!$I$12*B357/1000</f>
        <v>239.30107460000002</v>
      </c>
      <c r="I357" s="535"/>
      <c r="J357" s="535"/>
      <c r="K357" s="535"/>
      <c r="L357" s="535">
        <f>CCBASE!$I$14*B357/1000</f>
        <v>418.74730799999998</v>
      </c>
      <c r="M357" s="535"/>
      <c r="N357" s="535"/>
      <c r="O357" s="535">
        <f>CCBASE!$I$45*B357/1000</f>
        <v>19.940000000000001</v>
      </c>
      <c r="P357" s="535"/>
      <c r="Q357" s="535">
        <f>CCBASE!$H$51</f>
        <v>5.16</v>
      </c>
      <c r="R357" s="535">
        <f>CCBASE!$I$4</f>
        <v>8.3986041999999994</v>
      </c>
      <c r="S357" s="535">
        <f>CCBASE!$I$8</f>
        <v>16.25526</v>
      </c>
      <c r="T357" s="535">
        <f>CCBASE!$I$44</f>
        <v>94.69</v>
      </c>
      <c r="U357" s="534"/>
      <c r="V357" s="534"/>
      <c r="W357" s="535">
        <f>CCBASE!$I$43*B357/1000</f>
        <v>177.24823999999998</v>
      </c>
      <c r="X357" s="535"/>
      <c r="Y357" s="535"/>
      <c r="Z357" s="535"/>
      <c r="AA357" s="535"/>
      <c r="AB357" s="535"/>
      <c r="AC357" s="535"/>
      <c r="AD357" s="535">
        <f>CCBASE!$I$38*2</f>
        <v>272.06745999999998</v>
      </c>
    </row>
    <row r="358" spans="1:30" x14ac:dyDescent="0.2">
      <c r="A358" s="533" t="s">
        <v>1097</v>
      </c>
      <c r="B358" s="533">
        <v>2250</v>
      </c>
      <c r="C358" s="533">
        <v>2000</v>
      </c>
      <c r="D358" s="533" t="str">
        <f t="shared" si="12"/>
        <v>CMWI22502000</v>
      </c>
      <c r="E358" s="907">
        <f t="shared" si="13"/>
        <v>2114.7125246249998</v>
      </c>
      <c r="F358" s="534">
        <v>21</v>
      </c>
      <c r="G358" s="535">
        <f>F358*CCBASE!$B$51</f>
        <v>756</v>
      </c>
      <c r="H358" s="535">
        <f>CCBASE!$I$12*B358/1000</f>
        <v>269.21370892500005</v>
      </c>
      <c r="I358" s="535"/>
      <c r="J358" s="535"/>
      <c r="K358" s="535"/>
      <c r="L358" s="535">
        <f>CCBASE!$I$14*B358/1000</f>
        <v>471.09072149999997</v>
      </c>
      <c r="M358" s="535"/>
      <c r="N358" s="535"/>
      <c r="O358" s="535">
        <f>CCBASE!$I$45*B358/1000</f>
        <v>22.432500000000001</v>
      </c>
      <c r="P358" s="535"/>
      <c r="Q358" s="535">
        <f>CCBASE!$H$51</f>
        <v>5.16</v>
      </c>
      <c r="R358" s="535">
        <f>CCBASE!$I$4</f>
        <v>8.3986041999999994</v>
      </c>
      <c r="S358" s="535">
        <f>CCBASE!$I$8</f>
        <v>16.25526</v>
      </c>
      <c r="T358" s="535">
        <f>CCBASE!$I$44</f>
        <v>94.69</v>
      </c>
      <c r="U358" s="534"/>
      <c r="V358" s="534"/>
      <c r="W358" s="535">
        <f>CCBASE!$I$43*B358/1000</f>
        <v>199.40427</v>
      </c>
      <c r="X358" s="535"/>
      <c r="Y358" s="535"/>
      <c r="Z358" s="535"/>
      <c r="AA358" s="535"/>
      <c r="AB358" s="535"/>
      <c r="AC358" s="535"/>
      <c r="AD358" s="535">
        <f>CCBASE!$I$38*2</f>
        <v>272.06745999999998</v>
      </c>
    </row>
    <row r="359" spans="1:30" x14ac:dyDescent="0.2">
      <c r="A359" s="533" t="s">
        <v>1097</v>
      </c>
      <c r="B359" s="533">
        <v>2500</v>
      </c>
      <c r="C359" s="533">
        <v>2000</v>
      </c>
      <c r="D359" s="533" t="str">
        <f t="shared" si="12"/>
        <v>CMWI25002000</v>
      </c>
      <c r="E359" s="907">
        <f t="shared" si="13"/>
        <v>2221.6171024499999</v>
      </c>
      <c r="F359" s="534">
        <v>21</v>
      </c>
      <c r="G359" s="535">
        <f>F359*CCBASE!$B$51</f>
        <v>756</v>
      </c>
      <c r="H359" s="535">
        <f>CCBASE!$I$12*B359/1000</f>
        <v>299.12634325000005</v>
      </c>
      <c r="I359" s="535"/>
      <c r="J359" s="535"/>
      <c r="K359" s="535"/>
      <c r="L359" s="535">
        <f>CCBASE!$I$14*B359/1000</f>
        <v>523.43413499999997</v>
      </c>
      <c r="M359" s="535"/>
      <c r="N359" s="535"/>
      <c r="O359" s="535">
        <f>CCBASE!$I$45*B359/1000</f>
        <v>24.925000000000001</v>
      </c>
      <c r="P359" s="535"/>
      <c r="Q359" s="535">
        <f>CCBASE!$H$51</f>
        <v>5.16</v>
      </c>
      <c r="R359" s="535">
        <f>CCBASE!$I$4</f>
        <v>8.3986041999999994</v>
      </c>
      <c r="S359" s="535">
        <f>CCBASE!$I$8</f>
        <v>16.25526</v>
      </c>
      <c r="T359" s="535">
        <f>CCBASE!$I$44</f>
        <v>94.69</v>
      </c>
      <c r="U359" s="534"/>
      <c r="V359" s="534"/>
      <c r="W359" s="535">
        <f>CCBASE!$I$43*B359/1000</f>
        <v>221.56029999999998</v>
      </c>
      <c r="X359" s="535"/>
      <c r="Y359" s="535"/>
      <c r="Z359" s="535"/>
      <c r="AA359" s="535"/>
      <c r="AB359" s="535"/>
      <c r="AC359" s="535"/>
      <c r="AD359" s="535">
        <f>CCBASE!$I$38*2</f>
        <v>272.06745999999998</v>
      </c>
    </row>
    <row r="360" spans="1:30" x14ac:dyDescent="0.2">
      <c r="A360" s="533" t="s">
        <v>1097</v>
      </c>
      <c r="B360" s="533">
        <v>2750</v>
      </c>
      <c r="C360" s="533">
        <v>2000</v>
      </c>
      <c r="D360" s="533" t="str">
        <f t="shared" si="12"/>
        <v>CMWI27502000</v>
      </c>
      <c r="E360" s="907">
        <f t="shared" si="13"/>
        <v>2328.5216802750001</v>
      </c>
      <c r="F360" s="534">
        <v>21</v>
      </c>
      <c r="G360" s="535">
        <f>F360*CCBASE!$B$51</f>
        <v>756</v>
      </c>
      <c r="H360" s="535">
        <f>CCBASE!$I$12*B360/1000</f>
        <v>329.03897757500005</v>
      </c>
      <c r="I360" s="535"/>
      <c r="J360" s="535"/>
      <c r="K360" s="535"/>
      <c r="L360" s="535">
        <f>CCBASE!$I$14*B360/1000</f>
        <v>575.77754849999997</v>
      </c>
      <c r="M360" s="535"/>
      <c r="N360" s="535"/>
      <c r="O360" s="535">
        <f>CCBASE!$I$45*B360/1000</f>
        <v>27.4175</v>
      </c>
      <c r="P360" s="535"/>
      <c r="Q360" s="535">
        <f>CCBASE!$H$51</f>
        <v>5.16</v>
      </c>
      <c r="R360" s="535">
        <f>CCBASE!$I$4</f>
        <v>8.3986041999999994</v>
      </c>
      <c r="S360" s="535">
        <f>CCBASE!$I$8</f>
        <v>16.25526</v>
      </c>
      <c r="T360" s="535">
        <f>CCBASE!$I$44</f>
        <v>94.69</v>
      </c>
      <c r="U360" s="534"/>
      <c r="V360" s="534"/>
      <c r="W360" s="535">
        <f>CCBASE!$I$43*B360/1000</f>
        <v>243.71633</v>
      </c>
      <c r="X360" s="535"/>
      <c r="Y360" s="535"/>
      <c r="Z360" s="535"/>
      <c r="AA360" s="535"/>
      <c r="AB360" s="535"/>
      <c r="AC360" s="535"/>
      <c r="AD360" s="535">
        <f>CCBASE!$I$38*2</f>
        <v>272.06745999999998</v>
      </c>
    </row>
    <row r="361" spans="1:30" x14ac:dyDescent="0.2">
      <c r="A361" s="533" t="s">
        <v>1097</v>
      </c>
      <c r="B361" s="533">
        <v>3000</v>
      </c>
      <c r="C361" s="533">
        <v>2000</v>
      </c>
      <c r="D361" s="533" t="str">
        <f t="shared" si="12"/>
        <v>CMWI30002000</v>
      </c>
      <c r="E361" s="907">
        <f t="shared" si="13"/>
        <v>2435.4262581000003</v>
      </c>
      <c r="F361" s="534">
        <v>21</v>
      </c>
      <c r="G361" s="535">
        <f>F361*CCBASE!$B$51</f>
        <v>756</v>
      </c>
      <c r="H361" s="535">
        <f>CCBASE!$I$12*B361/1000</f>
        <v>358.95161190000005</v>
      </c>
      <c r="I361" s="535"/>
      <c r="J361" s="535"/>
      <c r="K361" s="535"/>
      <c r="L361" s="535">
        <f>CCBASE!$I$14*B361/1000</f>
        <v>628.12096199999996</v>
      </c>
      <c r="M361" s="535"/>
      <c r="N361" s="535"/>
      <c r="O361" s="535">
        <f>CCBASE!$I$45*B361/1000</f>
        <v>29.910000000000004</v>
      </c>
      <c r="P361" s="535"/>
      <c r="Q361" s="535">
        <f>CCBASE!$H$51</f>
        <v>5.16</v>
      </c>
      <c r="R361" s="535">
        <f>CCBASE!$I$4</f>
        <v>8.3986041999999994</v>
      </c>
      <c r="S361" s="535">
        <f>CCBASE!$I$8</f>
        <v>16.25526</v>
      </c>
      <c r="T361" s="535">
        <f>CCBASE!$I$44</f>
        <v>94.69</v>
      </c>
      <c r="U361" s="534"/>
      <c r="V361" s="534"/>
      <c r="W361" s="535">
        <f>CCBASE!$I$43*B361/1000</f>
        <v>265.87235999999996</v>
      </c>
      <c r="X361" s="535"/>
      <c r="Y361" s="535"/>
      <c r="Z361" s="535"/>
      <c r="AA361" s="535"/>
      <c r="AB361" s="535"/>
      <c r="AC361" s="535"/>
      <c r="AD361" s="535">
        <f>CCBASE!$I$38*2</f>
        <v>272.06745999999998</v>
      </c>
    </row>
    <row r="362" spans="1:30" x14ac:dyDescent="0.2">
      <c r="A362" s="533" t="s">
        <v>1193</v>
      </c>
      <c r="B362" s="533">
        <v>1000</v>
      </c>
      <c r="C362" s="533">
        <v>1000</v>
      </c>
      <c r="D362" s="533" t="str">
        <f t="shared" si="12"/>
        <v>CV-W-MUAP10001000</v>
      </c>
      <c r="E362" s="907">
        <f t="shared" si="13"/>
        <v>1583.2254014999999</v>
      </c>
      <c r="F362" s="534">
        <v>20</v>
      </c>
      <c r="G362" s="535">
        <f>F362*CCBASE!$B$51</f>
        <v>720</v>
      </c>
      <c r="H362" s="535">
        <f>CCBASE!$I$12*B362/1000</f>
        <v>119.65053730000001</v>
      </c>
      <c r="I362" s="535"/>
      <c r="J362" s="535"/>
      <c r="K362" s="535"/>
      <c r="L362" s="535">
        <f>CCBASE!$I$14*B362/1000</f>
        <v>209.37365399999999</v>
      </c>
      <c r="M362" s="535"/>
      <c r="N362" s="535"/>
      <c r="O362" s="535">
        <f>CCBASE!$I$45*B362/1000</f>
        <v>9.9700000000000006</v>
      </c>
      <c r="P362" s="535"/>
      <c r="Q362" s="535">
        <f>CCBASE!$H$51</f>
        <v>5.16</v>
      </c>
      <c r="R362" s="535">
        <f>CCBASE!$I$4</f>
        <v>8.3986041999999994</v>
      </c>
      <c r="S362" s="535">
        <f>CCBASE!$I$8</f>
        <v>16.25526</v>
      </c>
      <c r="T362" s="535">
        <f>CCBASE!$I$44</f>
        <v>94.69</v>
      </c>
      <c r="U362" s="534"/>
      <c r="V362" s="534"/>
      <c r="W362" s="535">
        <f>CCBASE!$I$43*B362/1000</f>
        <v>88.624119999999991</v>
      </c>
      <c r="X362" s="535"/>
      <c r="Y362" s="535"/>
      <c r="Z362" s="535"/>
      <c r="AA362" s="535"/>
      <c r="AB362" s="535"/>
      <c r="AC362" s="535"/>
      <c r="AD362" s="535">
        <f>CCBASE!$I$39*2</f>
        <v>311.10322599999995</v>
      </c>
    </row>
    <row r="363" spans="1:30" x14ac:dyDescent="0.2">
      <c r="A363" s="533" t="s">
        <v>1193</v>
      </c>
      <c r="B363" s="533">
        <v>1250</v>
      </c>
      <c r="C363" s="533">
        <v>1000</v>
      </c>
      <c r="D363" s="533" t="str">
        <f t="shared" si="12"/>
        <v>CV-W-MUAP12501000</v>
      </c>
      <c r="E363" s="907">
        <f t="shared" si="13"/>
        <v>1667.9505668249999</v>
      </c>
      <c r="F363" s="534">
        <v>20</v>
      </c>
      <c r="G363" s="535">
        <f>F363*CCBASE!$B$51</f>
        <v>720</v>
      </c>
      <c r="H363" s="535">
        <f>CCBASE!$I$12*B363/1000</f>
        <v>149.56317162500002</v>
      </c>
      <c r="I363" s="535"/>
      <c r="J363" s="535"/>
      <c r="K363" s="535"/>
      <c r="L363" s="535">
        <f>CCBASE!$I$14*B363/1000</f>
        <v>261.71706749999998</v>
      </c>
      <c r="M363" s="535"/>
      <c r="N363" s="535"/>
      <c r="O363" s="535">
        <f>CCBASE!$I$45*B363/1000</f>
        <v>12.4625</v>
      </c>
      <c r="P363" s="535"/>
      <c r="Q363" s="535">
        <f>CCBASE!$H$51</f>
        <v>5.16</v>
      </c>
      <c r="R363" s="535">
        <f>CCBASE!$I$4</f>
        <v>8.3986041999999994</v>
      </c>
      <c r="S363" s="535">
        <f>CCBASE!$I$8</f>
        <v>16.25526</v>
      </c>
      <c r="T363" s="535">
        <f>CCBASE!$I$44</f>
        <v>94.69</v>
      </c>
      <c r="U363" s="534"/>
      <c r="V363" s="534"/>
      <c r="W363" s="535">
        <f>CCBASE!$I$42*B363/1000</f>
        <v>88.600737500000008</v>
      </c>
      <c r="X363" s="535"/>
      <c r="Y363" s="535"/>
      <c r="Z363" s="535"/>
      <c r="AA363" s="535"/>
      <c r="AB363" s="535"/>
      <c r="AC363" s="535"/>
      <c r="AD363" s="535">
        <f>CCBASE!$I$39*2</f>
        <v>311.10322599999995</v>
      </c>
    </row>
    <row r="364" spans="1:30" x14ac:dyDescent="0.2">
      <c r="A364" s="533" t="s">
        <v>1193</v>
      </c>
      <c r="B364" s="533">
        <v>1500</v>
      </c>
      <c r="C364" s="533">
        <v>1000</v>
      </c>
      <c r="D364" s="533" t="str">
        <f t="shared" si="12"/>
        <v>CV-W-MUAP15001000</v>
      </c>
      <c r="E364" s="907">
        <f t="shared" si="13"/>
        <v>1770.4192621499999</v>
      </c>
      <c r="F364" s="534">
        <v>20</v>
      </c>
      <c r="G364" s="535">
        <f>F364*CCBASE!$B$51</f>
        <v>720</v>
      </c>
      <c r="H364" s="535">
        <f>CCBASE!$I$12*B364/1000</f>
        <v>179.47580595000002</v>
      </c>
      <c r="I364" s="535"/>
      <c r="J364" s="535"/>
      <c r="K364" s="535"/>
      <c r="L364" s="535">
        <f>CCBASE!$I$14*B364/1000</f>
        <v>314.06048099999998</v>
      </c>
      <c r="M364" s="535"/>
      <c r="N364" s="535"/>
      <c r="O364" s="535">
        <f>CCBASE!$I$45*B364/1000</f>
        <v>14.955000000000002</v>
      </c>
      <c r="P364" s="535"/>
      <c r="Q364" s="535">
        <f>CCBASE!$H$51</f>
        <v>5.16</v>
      </c>
      <c r="R364" s="535">
        <f>CCBASE!$I$4</f>
        <v>8.3986041999999994</v>
      </c>
      <c r="S364" s="535">
        <f>CCBASE!$I$8</f>
        <v>16.25526</v>
      </c>
      <c r="T364" s="535">
        <f>CCBASE!$I$44</f>
        <v>94.69</v>
      </c>
      <c r="U364" s="534"/>
      <c r="V364" s="534"/>
      <c r="W364" s="535">
        <f>CCBASE!$I$42*B364/1000</f>
        <v>106.32088499999999</v>
      </c>
      <c r="X364" s="535"/>
      <c r="Y364" s="535"/>
      <c r="Z364" s="535"/>
      <c r="AA364" s="535"/>
      <c r="AB364" s="535"/>
      <c r="AC364" s="535"/>
      <c r="AD364" s="535">
        <f>CCBASE!$I$39*2</f>
        <v>311.10322599999995</v>
      </c>
    </row>
    <row r="365" spans="1:30" x14ac:dyDescent="0.2">
      <c r="A365" s="533" t="s">
        <v>1193</v>
      </c>
      <c r="B365" s="533">
        <v>1750</v>
      </c>
      <c r="C365" s="533">
        <v>1000</v>
      </c>
      <c r="D365" s="533" t="str">
        <f t="shared" si="12"/>
        <v>CV-W-MUAP17501000</v>
      </c>
      <c r="E365" s="907">
        <f t="shared" si="13"/>
        <v>1872.8879574749999</v>
      </c>
      <c r="F365" s="534">
        <v>20</v>
      </c>
      <c r="G365" s="535">
        <f>F365*CCBASE!$B$51</f>
        <v>720</v>
      </c>
      <c r="H365" s="535">
        <f>CCBASE!$I$12*B365/1000</f>
        <v>209.38844027500002</v>
      </c>
      <c r="I365" s="535"/>
      <c r="J365" s="535"/>
      <c r="K365" s="535"/>
      <c r="L365" s="535">
        <f>CCBASE!$I$14*B365/1000</f>
        <v>366.40389449999998</v>
      </c>
      <c r="M365" s="535"/>
      <c r="N365" s="535"/>
      <c r="O365" s="535">
        <f>CCBASE!$I$45*B365/1000</f>
        <v>17.447500000000002</v>
      </c>
      <c r="P365" s="535"/>
      <c r="Q365" s="535">
        <f>CCBASE!$H$51</f>
        <v>5.16</v>
      </c>
      <c r="R365" s="535">
        <f>CCBASE!$I$4</f>
        <v>8.3986041999999994</v>
      </c>
      <c r="S365" s="535">
        <f>CCBASE!$I$8</f>
        <v>16.25526</v>
      </c>
      <c r="T365" s="535">
        <f>CCBASE!$I$44</f>
        <v>94.69</v>
      </c>
      <c r="U365" s="534"/>
      <c r="V365" s="534"/>
      <c r="W365" s="535">
        <f>CCBASE!$I$42*B365/1000</f>
        <v>124.0410325</v>
      </c>
      <c r="X365" s="535"/>
      <c r="Y365" s="535"/>
      <c r="Z365" s="535"/>
      <c r="AA365" s="535"/>
      <c r="AB365" s="535"/>
      <c r="AC365" s="535"/>
      <c r="AD365" s="535">
        <f>CCBASE!$I$39*2</f>
        <v>311.10322599999995</v>
      </c>
    </row>
    <row r="366" spans="1:30" x14ac:dyDescent="0.2">
      <c r="A366" s="533" t="s">
        <v>1193</v>
      </c>
      <c r="B366" s="533">
        <v>2000</v>
      </c>
      <c r="C366" s="533">
        <v>1000</v>
      </c>
      <c r="D366" s="533" t="str">
        <f t="shared" si="12"/>
        <v>CV-W-MUAP20001000</v>
      </c>
      <c r="E366" s="907">
        <f t="shared" si="13"/>
        <v>1975.3566527999999</v>
      </c>
      <c r="F366" s="534">
        <v>20</v>
      </c>
      <c r="G366" s="535">
        <f>F366*CCBASE!$B$51</f>
        <v>720</v>
      </c>
      <c r="H366" s="535">
        <f>CCBASE!$I$12*B366/1000</f>
        <v>239.30107460000002</v>
      </c>
      <c r="I366" s="535"/>
      <c r="J366" s="535"/>
      <c r="K366" s="535"/>
      <c r="L366" s="535">
        <f>CCBASE!$I$14*B366/1000</f>
        <v>418.74730799999998</v>
      </c>
      <c r="M366" s="535"/>
      <c r="N366" s="535"/>
      <c r="O366" s="535">
        <f>CCBASE!$I$45*B366/1000</f>
        <v>19.940000000000001</v>
      </c>
      <c r="P366" s="535"/>
      <c r="Q366" s="535">
        <f>CCBASE!$H$51</f>
        <v>5.16</v>
      </c>
      <c r="R366" s="535">
        <f>CCBASE!$I$4</f>
        <v>8.3986041999999994</v>
      </c>
      <c r="S366" s="535">
        <f>CCBASE!$I$8</f>
        <v>16.25526</v>
      </c>
      <c r="T366" s="535">
        <f>CCBASE!$I$44</f>
        <v>94.69</v>
      </c>
      <c r="U366" s="534"/>
      <c r="V366" s="534"/>
      <c r="W366" s="535">
        <f>CCBASE!$I$42*B366/1000</f>
        <v>141.76118</v>
      </c>
      <c r="X366" s="535"/>
      <c r="Y366" s="535"/>
      <c r="Z366" s="535"/>
      <c r="AA366" s="535"/>
      <c r="AB366" s="535"/>
      <c r="AC366" s="535"/>
      <c r="AD366" s="535">
        <f>CCBASE!$I$39*2</f>
        <v>311.10322599999995</v>
      </c>
    </row>
    <row r="367" spans="1:30" x14ac:dyDescent="0.2">
      <c r="A367" s="533" t="s">
        <v>1193</v>
      </c>
      <c r="B367" s="533">
        <v>2250</v>
      </c>
      <c r="C367" s="533">
        <v>1000</v>
      </c>
      <c r="D367" s="533" t="str">
        <f t="shared" si="12"/>
        <v>CV-W-MUAP22501000</v>
      </c>
      <c r="E367" s="907">
        <f t="shared" si="13"/>
        <v>2113.8253481249994</v>
      </c>
      <c r="F367" s="534">
        <v>21</v>
      </c>
      <c r="G367" s="535">
        <f>F367*CCBASE!$B$51</f>
        <v>756</v>
      </c>
      <c r="H367" s="535">
        <f>CCBASE!$I$12*B367/1000</f>
        <v>269.21370892500005</v>
      </c>
      <c r="I367" s="535"/>
      <c r="J367" s="535"/>
      <c r="K367" s="535"/>
      <c r="L367" s="535">
        <f>CCBASE!$I$14*B367/1000</f>
        <v>471.09072149999997</v>
      </c>
      <c r="M367" s="535"/>
      <c r="N367" s="535"/>
      <c r="O367" s="535">
        <f>CCBASE!$I$45*B367/1000</f>
        <v>22.432500000000001</v>
      </c>
      <c r="P367" s="535"/>
      <c r="Q367" s="535">
        <f>CCBASE!$H$51</f>
        <v>5.16</v>
      </c>
      <c r="R367" s="535">
        <f>CCBASE!$I$4</f>
        <v>8.3986041999999994</v>
      </c>
      <c r="S367" s="535">
        <f>CCBASE!$I$8</f>
        <v>16.25526</v>
      </c>
      <c r="T367" s="535">
        <f>CCBASE!$I$44</f>
        <v>94.69</v>
      </c>
      <c r="U367" s="534"/>
      <c r="V367" s="534"/>
      <c r="W367" s="535">
        <f>CCBASE!$I$42*B367/1000</f>
        <v>159.48132749999999</v>
      </c>
      <c r="X367" s="535"/>
      <c r="Y367" s="535"/>
      <c r="Z367" s="535"/>
      <c r="AA367" s="535"/>
      <c r="AB367" s="535"/>
      <c r="AC367" s="535"/>
      <c r="AD367" s="535">
        <f>CCBASE!$I$39*2</f>
        <v>311.10322599999995</v>
      </c>
    </row>
    <row r="368" spans="1:30" x14ac:dyDescent="0.2">
      <c r="A368" s="533" t="s">
        <v>1193</v>
      </c>
      <c r="B368" s="533">
        <v>2500</v>
      </c>
      <c r="C368" s="533">
        <v>1000</v>
      </c>
      <c r="D368" s="533" t="str">
        <f t="shared" si="12"/>
        <v>CV-W-MUAP25001000</v>
      </c>
      <c r="E368" s="907">
        <f t="shared" si="13"/>
        <v>2216.2940434499997</v>
      </c>
      <c r="F368" s="534">
        <v>21</v>
      </c>
      <c r="G368" s="535">
        <f>F368*CCBASE!$B$51</f>
        <v>756</v>
      </c>
      <c r="H368" s="535">
        <f>CCBASE!$I$12*B368/1000</f>
        <v>299.12634325000005</v>
      </c>
      <c r="I368" s="535"/>
      <c r="J368" s="535"/>
      <c r="K368" s="535"/>
      <c r="L368" s="535">
        <f>CCBASE!$I$14*B368/1000</f>
        <v>523.43413499999997</v>
      </c>
      <c r="M368" s="535"/>
      <c r="N368" s="535"/>
      <c r="O368" s="535">
        <f>CCBASE!$I$45*B368/1000</f>
        <v>24.925000000000001</v>
      </c>
      <c r="P368" s="535"/>
      <c r="Q368" s="535">
        <f>CCBASE!$H$51</f>
        <v>5.16</v>
      </c>
      <c r="R368" s="535">
        <f>CCBASE!$I$4</f>
        <v>8.3986041999999994</v>
      </c>
      <c r="S368" s="535">
        <f>CCBASE!$I$8</f>
        <v>16.25526</v>
      </c>
      <c r="T368" s="535">
        <f>CCBASE!$I$44</f>
        <v>94.69</v>
      </c>
      <c r="U368" s="534"/>
      <c r="V368" s="534"/>
      <c r="W368" s="535">
        <f>CCBASE!$I$42*B368/1000</f>
        <v>177.20147500000002</v>
      </c>
      <c r="X368" s="535"/>
      <c r="Y368" s="535"/>
      <c r="Z368" s="535"/>
      <c r="AA368" s="535"/>
      <c r="AB368" s="535"/>
      <c r="AC368" s="535"/>
      <c r="AD368" s="535">
        <f>CCBASE!$I$39*2</f>
        <v>311.10322599999995</v>
      </c>
    </row>
    <row r="369" spans="1:30" x14ac:dyDescent="0.2">
      <c r="A369" s="533" t="s">
        <v>1193</v>
      </c>
      <c r="B369" s="533">
        <v>2750</v>
      </c>
      <c r="C369" s="533">
        <v>1000</v>
      </c>
      <c r="D369" s="533" t="str">
        <f t="shared" si="12"/>
        <v>CV-W-MUAP27501000</v>
      </c>
      <c r="E369" s="907">
        <f t="shared" si="13"/>
        <v>2318.7627387749999</v>
      </c>
      <c r="F369" s="534">
        <v>21</v>
      </c>
      <c r="G369" s="535">
        <f>F369*CCBASE!$B$51</f>
        <v>756</v>
      </c>
      <c r="H369" s="535">
        <f>CCBASE!$I$12*B369/1000</f>
        <v>329.03897757500005</v>
      </c>
      <c r="I369" s="535"/>
      <c r="J369" s="535"/>
      <c r="K369" s="535"/>
      <c r="L369" s="535">
        <f>CCBASE!$I$14*B369/1000</f>
        <v>575.77754849999997</v>
      </c>
      <c r="M369" s="535"/>
      <c r="N369" s="535"/>
      <c r="O369" s="535">
        <f>CCBASE!$I$45*B369/1000</f>
        <v>27.4175</v>
      </c>
      <c r="P369" s="535"/>
      <c r="Q369" s="535">
        <f>CCBASE!$H$51</f>
        <v>5.16</v>
      </c>
      <c r="R369" s="535">
        <f>CCBASE!$I$4</f>
        <v>8.3986041999999994</v>
      </c>
      <c r="S369" s="535">
        <f>CCBASE!$I$8</f>
        <v>16.25526</v>
      </c>
      <c r="T369" s="535">
        <f>CCBASE!$I$44</f>
        <v>94.69</v>
      </c>
      <c r="U369" s="534"/>
      <c r="V369" s="534"/>
      <c r="W369" s="535">
        <f>CCBASE!$I$42*B369/1000</f>
        <v>194.92162249999998</v>
      </c>
      <c r="X369" s="535"/>
      <c r="Y369" s="535"/>
      <c r="Z369" s="535"/>
      <c r="AA369" s="535"/>
      <c r="AB369" s="535"/>
      <c r="AC369" s="535"/>
      <c r="AD369" s="535">
        <f>CCBASE!$I$39*2</f>
        <v>311.10322599999995</v>
      </c>
    </row>
    <row r="370" spans="1:30" x14ac:dyDescent="0.2">
      <c r="A370" s="533" t="s">
        <v>1193</v>
      </c>
      <c r="B370" s="533">
        <v>3000</v>
      </c>
      <c r="C370" s="533">
        <v>1000</v>
      </c>
      <c r="D370" s="533" t="str">
        <f t="shared" si="12"/>
        <v>CV-W-MUAP30001000</v>
      </c>
      <c r="E370" s="907">
        <f t="shared" si="13"/>
        <v>2421.2314341000001</v>
      </c>
      <c r="F370" s="534">
        <v>21</v>
      </c>
      <c r="G370" s="535">
        <f>F370*CCBASE!$B$51</f>
        <v>756</v>
      </c>
      <c r="H370" s="535">
        <f>CCBASE!$I$12*B370/1000</f>
        <v>358.95161190000005</v>
      </c>
      <c r="I370" s="535"/>
      <c r="J370" s="535"/>
      <c r="K370" s="535"/>
      <c r="L370" s="535">
        <f>CCBASE!$I$14*B370/1000</f>
        <v>628.12096199999996</v>
      </c>
      <c r="M370" s="535"/>
      <c r="N370" s="535"/>
      <c r="O370" s="535">
        <f>CCBASE!$I$45*B370/1000</f>
        <v>29.910000000000004</v>
      </c>
      <c r="P370" s="535"/>
      <c r="Q370" s="535">
        <f>CCBASE!$H$51</f>
        <v>5.16</v>
      </c>
      <c r="R370" s="535">
        <f>CCBASE!$I$4</f>
        <v>8.3986041999999994</v>
      </c>
      <c r="S370" s="535">
        <f>CCBASE!$I$8</f>
        <v>16.25526</v>
      </c>
      <c r="T370" s="535">
        <f>CCBASE!$I$44</f>
        <v>94.69</v>
      </c>
      <c r="U370" s="534"/>
      <c r="V370" s="534"/>
      <c r="W370" s="535">
        <f>CCBASE!$I$42*B370/1000</f>
        <v>212.64176999999998</v>
      </c>
      <c r="X370" s="535"/>
      <c r="Y370" s="535"/>
      <c r="Z370" s="535"/>
      <c r="AA370" s="535"/>
      <c r="AB370" s="535"/>
      <c r="AC370" s="535"/>
      <c r="AD370" s="535">
        <f>CCBASE!$I$39*2</f>
        <v>311.10322599999995</v>
      </c>
    </row>
    <row r="371" spans="1:30" x14ac:dyDescent="0.2">
      <c r="A371" s="533" t="s">
        <v>1193</v>
      </c>
      <c r="B371" s="533">
        <v>1000</v>
      </c>
      <c r="C371" s="533">
        <v>1250</v>
      </c>
      <c r="D371" s="533" t="str">
        <f t="shared" si="12"/>
        <v>CV-W-MUAP10001250</v>
      </c>
      <c r="E371" s="907">
        <f t="shared" si="13"/>
        <v>1165.60630477</v>
      </c>
      <c r="F371" s="534">
        <v>18</v>
      </c>
      <c r="G371" s="535">
        <f>F371*CCBASE!$B$51</f>
        <v>648</v>
      </c>
      <c r="H371" s="535">
        <f>CCBASE!$I$16</f>
        <v>79.000110070000005</v>
      </c>
      <c r="I371" s="535">
        <f>(CCBASE!$I$20)/1000*B371</f>
        <v>86.647571499999998</v>
      </c>
      <c r="J371" s="535"/>
      <c r="K371" s="535"/>
      <c r="L371" s="535"/>
      <c r="M371" s="535">
        <f>CCBASE!$I$6*B371/1000</f>
        <v>121.24745499999997</v>
      </c>
      <c r="N371" s="535">
        <f>CCBASE!$I$7*B371/1000</f>
        <v>31.542280000000002</v>
      </c>
      <c r="O371" s="535">
        <f>CCBASE!$I$45*B371/1000</f>
        <v>9.9700000000000006</v>
      </c>
      <c r="P371" s="534"/>
      <c r="Q371" s="534"/>
      <c r="R371" s="535">
        <f>CCBASE!$I$4</f>
        <v>8.3986041999999994</v>
      </c>
      <c r="S371" s="540">
        <f>CCBASE!$I$8</f>
        <v>16.25526</v>
      </c>
      <c r="T371" s="534"/>
      <c r="U371" s="540">
        <f>CCBASE!$I$47</f>
        <v>14.41</v>
      </c>
      <c r="V371" s="534"/>
      <c r="W371" s="535">
        <f>CCBASE!$I$40*B371/1000</f>
        <v>41.308039999999998</v>
      </c>
      <c r="X371" s="535"/>
      <c r="Y371" s="535"/>
      <c r="Z371" s="535"/>
      <c r="AA371" s="535"/>
      <c r="AB371" s="535"/>
      <c r="AC371" s="535"/>
      <c r="AD371" s="540">
        <f>CCBASE!$I$32*2</f>
        <v>108.826984</v>
      </c>
    </row>
    <row r="372" spans="1:30" x14ac:dyDescent="0.2">
      <c r="A372" s="533" t="s">
        <v>1193</v>
      </c>
      <c r="B372" s="533">
        <v>1250</v>
      </c>
      <c r="C372" s="533">
        <v>1250</v>
      </c>
      <c r="D372" s="533" t="str">
        <f t="shared" si="12"/>
        <v>CV-W-MUAP12501250</v>
      </c>
      <c r="E372" s="907">
        <f t="shared" si="13"/>
        <v>1252.6951413949998</v>
      </c>
      <c r="F372" s="534">
        <v>18</v>
      </c>
      <c r="G372" s="535">
        <f>F372*CCBASE!$B$51</f>
        <v>648</v>
      </c>
      <c r="H372" s="535">
        <f>CCBASE!$I$16</f>
        <v>79.000110070000005</v>
      </c>
      <c r="I372" s="535">
        <f>(CCBASE!$I$20)/1000*B372</f>
        <v>108.30946437499999</v>
      </c>
      <c r="J372" s="535"/>
      <c r="K372" s="535"/>
      <c r="L372" s="535"/>
      <c r="M372" s="535">
        <f>CCBASE!$I$6*B372/1000</f>
        <v>151.55931874999999</v>
      </c>
      <c r="N372" s="535">
        <f>CCBASE!$I$7*B372/1000</f>
        <v>39.427849999999999</v>
      </c>
      <c r="O372" s="535">
        <f>CCBASE!$I$45*B372/1000</f>
        <v>12.4625</v>
      </c>
      <c r="P372" s="534"/>
      <c r="Q372" s="534"/>
      <c r="R372" s="535">
        <f>CCBASE!$I$4</f>
        <v>8.3986041999999994</v>
      </c>
      <c r="S372" s="540">
        <f>CCBASE!$I$8</f>
        <v>16.25526</v>
      </c>
      <c r="T372" s="534"/>
      <c r="U372" s="540">
        <f>CCBASE!$I$47*2</f>
        <v>28.82</v>
      </c>
      <c r="V372" s="534"/>
      <c r="W372" s="535">
        <f>CCBASE!$I$40*B372/1000</f>
        <v>51.635049999999993</v>
      </c>
      <c r="X372" s="535"/>
      <c r="Y372" s="535"/>
      <c r="Z372" s="535"/>
      <c r="AA372" s="535"/>
      <c r="AB372" s="535"/>
      <c r="AC372" s="535"/>
      <c r="AD372" s="540">
        <f>CCBASE!$I$32*2</f>
        <v>108.826984</v>
      </c>
    </row>
    <row r="373" spans="1:30" x14ac:dyDescent="0.2">
      <c r="A373" s="533" t="s">
        <v>1193</v>
      </c>
      <c r="B373" s="533">
        <v>1500</v>
      </c>
      <c r="C373" s="533">
        <v>1250</v>
      </c>
      <c r="D373" s="533" t="str">
        <f t="shared" si="12"/>
        <v>CV-W-MUAP15001250</v>
      </c>
      <c r="E373" s="907">
        <f t="shared" si="13"/>
        <v>1325.3739780199996</v>
      </c>
      <c r="F373" s="534">
        <v>18</v>
      </c>
      <c r="G373" s="535">
        <f>F373*CCBASE!$B$51</f>
        <v>648</v>
      </c>
      <c r="H373" s="535">
        <f>CCBASE!$I$16</f>
        <v>79.000110070000005</v>
      </c>
      <c r="I373" s="535">
        <f>(CCBASE!$I$20)/1000*B373</f>
        <v>129.97135724999998</v>
      </c>
      <c r="J373" s="535"/>
      <c r="K373" s="535"/>
      <c r="L373" s="535"/>
      <c r="M373" s="535">
        <f>CCBASE!$I$6*B373/1000</f>
        <v>181.87118249999997</v>
      </c>
      <c r="N373" s="535">
        <f>CCBASE!$I$7*B373/1000</f>
        <v>47.313420000000008</v>
      </c>
      <c r="O373" s="535">
        <f>CCBASE!$I$45*B373/1000</f>
        <v>14.955000000000002</v>
      </c>
      <c r="P373" s="534"/>
      <c r="Q373" s="534"/>
      <c r="R373" s="535">
        <f>CCBASE!$I$4</f>
        <v>8.3986041999999994</v>
      </c>
      <c r="S373" s="540">
        <f>CCBASE!$I$8</f>
        <v>16.25526</v>
      </c>
      <c r="T373" s="534"/>
      <c r="U373" s="540">
        <f>CCBASE!$I$47*2</f>
        <v>28.82</v>
      </c>
      <c r="V373" s="534"/>
      <c r="W373" s="535">
        <f>CCBASE!$I$40*B373/1000</f>
        <v>61.962060000000001</v>
      </c>
      <c r="X373" s="535"/>
      <c r="Y373" s="535"/>
      <c r="Z373" s="535"/>
      <c r="AA373" s="535"/>
      <c r="AB373" s="535"/>
      <c r="AC373" s="535"/>
      <c r="AD373" s="540">
        <f>CCBASE!$I$32*2</f>
        <v>108.826984</v>
      </c>
    </row>
    <row r="374" spans="1:30" x14ac:dyDescent="0.2">
      <c r="A374" s="533" t="s">
        <v>1193</v>
      </c>
      <c r="B374" s="533">
        <v>1750</v>
      </c>
      <c r="C374" s="533">
        <v>1250</v>
      </c>
      <c r="D374" s="533" t="str">
        <f t="shared" ref="D374:D415" si="14">A374&amp;B374&amp;C374</f>
        <v>CV-W-MUAP17501250</v>
      </c>
      <c r="E374" s="907">
        <f t="shared" si="13"/>
        <v>1398.0528146449999</v>
      </c>
      <c r="F374" s="534">
        <v>18</v>
      </c>
      <c r="G374" s="535">
        <f>F374*CCBASE!$B$51</f>
        <v>648</v>
      </c>
      <c r="H374" s="535">
        <f>CCBASE!$I$16</f>
        <v>79.000110070000005</v>
      </c>
      <c r="I374" s="535">
        <f>(CCBASE!$I$20)/1000*B374</f>
        <v>151.63325012499999</v>
      </c>
      <c r="J374" s="535"/>
      <c r="K374" s="535"/>
      <c r="L374" s="535"/>
      <c r="M374" s="535">
        <f>CCBASE!$I$6*B374/1000</f>
        <v>212.18304624999996</v>
      </c>
      <c r="N374" s="535">
        <f>CCBASE!$I$7*B374/1000</f>
        <v>55.198990000000002</v>
      </c>
      <c r="O374" s="535">
        <f>CCBASE!$I$45*B374/1000</f>
        <v>17.447500000000002</v>
      </c>
      <c r="P374" s="534"/>
      <c r="Q374" s="534"/>
      <c r="R374" s="535">
        <f>CCBASE!$I$4</f>
        <v>8.3986041999999994</v>
      </c>
      <c r="S374" s="540">
        <f>CCBASE!$I$8</f>
        <v>16.25526</v>
      </c>
      <c r="T374" s="534"/>
      <c r="U374" s="540">
        <f>CCBASE!$I$47*2</f>
        <v>28.82</v>
      </c>
      <c r="V374" s="534"/>
      <c r="W374" s="535">
        <f>CCBASE!$I$40*B374/1000</f>
        <v>72.289069999999995</v>
      </c>
      <c r="X374" s="535"/>
      <c r="Y374" s="535"/>
      <c r="Z374" s="535"/>
      <c r="AA374" s="535"/>
      <c r="AB374" s="535"/>
      <c r="AC374" s="535"/>
      <c r="AD374" s="540">
        <f>CCBASE!$I$32*2</f>
        <v>108.826984</v>
      </c>
    </row>
    <row r="375" spans="1:30" x14ac:dyDescent="0.2">
      <c r="A375" s="533" t="s">
        <v>1193</v>
      </c>
      <c r="B375" s="533">
        <v>2000</v>
      </c>
      <c r="C375" s="533">
        <v>1250</v>
      </c>
      <c r="D375" s="533" t="str">
        <f t="shared" si="14"/>
        <v>CV-W-MUAP20001250</v>
      </c>
      <c r="E375" s="907">
        <f t="shared" si="13"/>
        <v>1470.7316512699997</v>
      </c>
      <c r="F375" s="534">
        <v>18</v>
      </c>
      <c r="G375" s="535">
        <f>F375*CCBASE!$B$51</f>
        <v>648</v>
      </c>
      <c r="H375" s="535">
        <f>CCBASE!$I$16</f>
        <v>79.000110070000005</v>
      </c>
      <c r="I375" s="535">
        <f>(CCBASE!$I$20)/1000*B375</f>
        <v>173.295143</v>
      </c>
      <c r="J375" s="535"/>
      <c r="K375" s="535"/>
      <c r="L375" s="535"/>
      <c r="M375" s="535">
        <f>CCBASE!$I$6*B375/1000</f>
        <v>242.49490999999995</v>
      </c>
      <c r="N375" s="535">
        <f>CCBASE!$I$7*B375/1000</f>
        <v>63.084560000000003</v>
      </c>
      <c r="O375" s="535">
        <f>CCBASE!$I$45*B375/1000</f>
        <v>19.940000000000001</v>
      </c>
      <c r="P375" s="534"/>
      <c r="Q375" s="534"/>
      <c r="R375" s="535">
        <f>CCBASE!$I$4</f>
        <v>8.3986041999999994</v>
      </c>
      <c r="S375" s="540">
        <f>CCBASE!$I$8</f>
        <v>16.25526</v>
      </c>
      <c r="T375" s="534"/>
      <c r="U375" s="540">
        <f>CCBASE!$I$47*2</f>
        <v>28.82</v>
      </c>
      <c r="V375" s="534"/>
      <c r="W375" s="535">
        <f>CCBASE!$I$40*B375/1000</f>
        <v>82.616079999999997</v>
      </c>
      <c r="X375" s="535"/>
      <c r="Y375" s="535"/>
      <c r="Z375" s="535"/>
      <c r="AA375" s="535"/>
      <c r="AB375" s="535"/>
      <c r="AC375" s="535"/>
      <c r="AD375" s="540">
        <f>CCBASE!$I$32*2</f>
        <v>108.826984</v>
      </c>
    </row>
    <row r="376" spans="1:30" x14ac:dyDescent="0.2">
      <c r="A376" s="533" t="s">
        <v>1193</v>
      </c>
      <c r="B376" s="533">
        <v>2250</v>
      </c>
      <c r="C376" s="533">
        <v>1250</v>
      </c>
      <c r="D376" s="533" t="str">
        <f t="shared" si="14"/>
        <v>CV-W-MUAP22501250</v>
      </c>
      <c r="E376" s="907">
        <f t="shared" si="13"/>
        <v>1579.4104878949995</v>
      </c>
      <c r="F376" s="534">
        <v>19</v>
      </c>
      <c r="G376" s="535">
        <f>F376*CCBASE!$B$51</f>
        <v>684</v>
      </c>
      <c r="H376" s="535">
        <f>CCBASE!$I$16</f>
        <v>79.000110070000005</v>
      </c>
      <c r="I376" s="535">
        <f>(CCBASE!$I$20)/1000*B376</f>
        <v>194.95703587499997</v>
      </c>
      <c r="J376" s="535"/>
      <c r="K376" s="535"/>
      <c r="L376" s="535"/>
      <c r="M376" s="535">
        <f>CCBASE!$I$6*B376/1000</f>
        <v>272.80677374999993</v>
      </c>
      <c r="N376" s="535">
        <f>CCBASE!$I$7*B376/1000</f>
        <v>70.970130000000012</v>
      </c>
      <c r="O376" s="535">
        <f>CCBASE!$I$45*B376/1000</f>
        <v>22.432500000000001</v>
      </c>
      <c r="P376" s="534"/>
      <c r="Q376" s="534"/>
      <c r="R376" s="535">
        <f>CCBASE!$I$4</f>
        <v>8.3986041999999994</v>
      </c>
      <c r="S376" s="540">
        <f>CCBASE!$I$8</f>
        <v>16.25526</v>
      </c>
      <c r="T376" s="534"/>
      <c r="U376" s="540">
        <f>CCBASE!$I$47*2</f>
        <v>28.82</v>
      </c>
      <c r="V376" s="534"/>
      <c r="W376" s="535">
        <f>CCBASE!$I$40*B376/1000</f>
        <v>92.943089999999998</v>
      </c>
      <c r="X376" s="535"/>
      <c r="Y376" s="535"/>
      <c r="Z376" s="535"/>
      <c r="AA376" s="535"/>
      <c r="AB376" s="535"/>
      <c r="AC376" s="535"/>
      <c r="AD376" s="540">
        <f>CCBASE!$I$32*2</f>
        <v>108.826984</v>
      </c>
    </row>
    <row r="377" spans="1:30" x14ac:dyDescent="0.2">
      <c r="A377" s="533" t="s">
        <v>1193</v>
      </c>
      <c r="B377" s="533">
        <v>2500</v>
      </c>
      <c r="C377" s="533">
        <v>1250</v>
      </c>
      <c r="D377" s="533" t="str">
        <f t="shared" si="14"/>
        <v>CV-W-MUAP25001250</v>
      </c>
      <c r="E377" s="907">
        <f t="shared" si="13"/>
        <v>1652.0893245199998</v>
      </c>
      <c r="F377" s="534">
        <v>19</v>
      </c>
      <c r="G377" s="535">
        <f>F377*CCBASE!$B$51</f>
        <v>684</v>
      </c>
      <c r="H377" s="535">
        <f>CCBASE!$I$16</f>
        <v>79.000110070000005</v>
      </c>
      <c r="I377" s="535">
        <f>(CCBASE!$I$20)/1000*B377</f>
        <v>216.61892874999998</v>
      </c>
      <c r="J377" s="535"/>
      <c r="K377" s="535"/>
      <c r="L377" s="535"/>
      <c r="M377" s="535">
        <f>CCBASE!$I$6*B377/1000</f>
        <v>303.11863749999998</v>
      </c>
      <c r="N377" s="535">
        <f>CCBASE!$I$7*B377/1000</f>
        <v>78.855699999999999</v>
      </c>
      <c r="O377" s="535">
        <f>CCBASE!$I$45*B377/1000</f>
        <v>24.925000000000001</v>
      </c>
      <c r="P377" s="534"/>
      <c r="Q377" s="534"/>
      <c r="R377" s="535">
        <f>CCBASE!$I$4</f>
        <v>8.3986041999999994</v>
      </c>
      <c r="S377" s="540">
        <f>CCBASE!$I$8</f>
        <v>16.25526</v>
      </c>
      <c r="T377" s="534"/>
      <c r="U377" s="540">
        <f>CCBASE!$I$47*2</f>
        <v>28.82</v>
      </c>
      <c r="V377" s="534"/>
      <c r="W377" s="535">
        <f>CCBASE!$I$40*B377/1000</f>
        <v>103.27009999999999</v>
      </c>
      <c r="X377" s="535"/>
      <c r="Y377" s="535"/>
      <c r="Z377" s="535"/>
      <c r="AA377" s="535"/>
      <c r="AB377" s="535"/>
      <c r="AC377" s="535"/>
      <c r="AD377" s="540">
        <f>CCBASE!$I$32*2</f>
        <v>108.826984</v>
      </c>
    </row>
    <row r="378" spans="1:30" x14ac:dyDescent="0.2">
      <c r="A378" s="533" t="s">
        <v>1193</v>
      </c>
      <c r="B378" s="533">
        <v>2750</v>
      </c>
      <c r="C378" s="533">
        <v>1250</v>
      </c>
      <c r="D378" s="533" t="str">
        <f t="shared" si="14"/>
        <v>CV-W-MUAP27501250</v>
      </c>
      <c r="E378" s="907">
        <f t="shared" si="13"/>
        <v>1724.7681611449996</v>
      </c>
      <c r="F378" s="534">
        <v>19</v>
      </c>
      <c r="G378" s="535">
        <f>F378*CCBASE!$B$51</f>
        <v>684</v>
      </c>
      <c r="H378" s="535">
        <f>CCBASE!$I$16</f>
        <v>79.000110070000005</v>
      </c>
      <c r="I378" s="535">
        <f>(CCBASE!$I$20)/1000*B378</f>
        <v>238.28082162499999</v>
      </c>
      <c r="J378" s="535"/>
      <c r="K378" s="535"/>
      <c r="L378" s="535"/>
      <c r="M378" s="535">
        <f>CCBASE!$I$6*B378/1000</f>
        <v>333.43050124999991</v>
      </c>
      <c r="N378" s="535">
        <f>CCBASE!$I$7*B378/1000</f>
        <v>86.74127</v>
      </c>
      <c r="O378" s="535">
        <f>CCBASE!$I$45*B378/1000</f>
        <v>27.4175</v>
      </c>
      <c r="P378" s="534"/>
      <c r="Q378" s="534"/>
      <c r="R378" s="535">
        <f>CCBASE!$I$4</f>
        <v>8.3986041999999994</v>
      </c>
      <c r="S378" s="540">
        <f>CCBASE!$I$8</f>
        <v>16.25526</v>
      </c>
      <c r="T378" s="534"/>
      <c r="U378" s="540">
        <f>CCBASE!$I$47*2</f>
        <v>28.82</v>
      </c>
      <c r="V378" s="534"/>
      <c r="W378" s="535">
        <f>CCBASE!$I$40*B378/1000</f>
        <v>113.59711</v>
      </c>
      <c r="X378" s="535"/>
      <c r="Y378" s="535"/>
      <c r="Z378" s="535"/>
      <c r="AA378" s="535"/>
      <c r="AB378" s="535"/>
      <c r="AC378" s="535"/>
      <c r="AD378" s="540">
        <f>CCBASE!$I$32*2</f>
        <v>108.826984</v>
      </c>
    </row>
    <row r="379" spans="1:30" x14ac:dyDescent="0.2">
      <c r="A379" s="533" t="s">
        <v>1193</v>
      </c>
      <c r="B379" s="533">
        <v>3000</v>
      </c>
      <c r="C379" s="533">
        <v>1250</v>
      </c>
      <c r="D379" s="533" t="str">
        <f t="shared" si="14"/>
        <v>CV-W-MUAP30001250</v>
      </c>
      <c r="E379" s="907">
        <f t="shared" si="13"/>
        <v>1797.4469977699998</v>
      </c>
      <c r="F379" s="534">
        <v>19</v>
      </c>
      <c r="G379" s="535">
        <f>F379*CCBASE!$B$51</f>
        <v>684</v>
      </c>
      <c r="H379" s="535">
        <f>CCBASE!$I$16</f>
        <v>79.000110070000005</v>
      </c>
      <c r="I379" s="535">
        <f>(CCBASE!$I$20)/1000*B379</f>
        <v>259.94271449999997</v>
      </c>
      <c r="J379" s="535"/>
      <c r="K379" s="535"/>
      <c r="L379" s="535"/>
      <c r="M379" s="535">
        <f>CCBASE!$I$6*B379/1000</f>
        <v>363.74236499999995</v>
      </c>
      <c r="N379" s="535">
        <f>CCBASE!$I$7*B379/1000</f>
        <v>94.626840000000016</v>
      </c>
      <c r="O379" s="535">
        <f>CCBASE!$I$45*B379/1000</f>
        <v>29.910000000000004</v>
      </c>
      <c r="P379" s="534"/>
      <c r="Q379" s="534"/>
      <c r="R379" s="535">
        <f>CCBASE!$I$4</f>
        <v>8.3986041999999994</v>
      </c>
      <c r="S379" s="540">
        <f>CCBASE!$I$8</f>
        <v>16.25526</v>
      </c>
      <c r="T379" s="534"/>
      <c r="U379" s="540">
        <f>CCBASE!$I$47*2</f>
        <v>28.82</v>
      </c>
      <c r="V379" s="534"/>
      <c r="W379" s="535">
        <f>CCBASE!$I$40*B379/1000</f>
        <v>123.92412</v>
      </c>
      <c r="X379" s="535"/>
      <c r="Y379" s="535"/>
      <c r="Z379" s="535"/>
      <c r="AA379" s="535"/>
      <c r="AB379" s="535"/>
      <c r="AC379" s="535"/>
      <c r="AD379" s="540">
        <f>CCBASE!$I$32*2</f>
        <v>108.826984</v>
      </c>
    </row>
    <row r="380" spans="1:30" x14ac:dyDescent="0.2">
      <c r="A380" s="533" t="s">
        <v>1193</v>
      </c>
      <c r="B380" s="533">
        <v>1000</v>
      </c>
      <c r="C380" s="533">
        <v>1500</v>
      </c>
      <c r="D380" s="533" t="str">
        <f t="shared" si="14"/>
        <v>CV-W-MUAP10001500</v>
      </c>
      <c r="E380" s="907">
        <f t="shared" si="13"/>
        <v>1230.2696426000002</v>
      </c>
      <c r="F380" s="534">
        <v>18</v>
      </c>
      <c r="G380" s="535">
        <f>F380*CCBASE!$B$51</f>
        <v>648</v>
      </c>
      <c r="H380" s="535">
        <f>CCBASE!$I$17</f>
        <v>98.713171899999992</v>
      </c>
      <c r="I380" s="535">
        <f>(CCBASE!$I$20)/1000*B380</f>
        <v>86.647571499999998</v>
      </c>
      <c r="J380" s="535"/>
      <c r="K380" s="535"/>
      <c r="L380" s="535"/>
      <c r="M380" s="535">
        <f>CCBASE!$I$6*B380/1000</f>
        <v>121.24745499999997</v>
      </c>
      <c r="N380" s="535">
        <f>CCBASE!$I$7*B380/1000</f>
        <v>31.542280000000002</v>
      </c>
      <c r="O380" s="535">
        <f>CCBASE!$I$45*B380/1000</f>
        <v>9.9700000000000006</v>
      </c>
      <c r="P380" s="534"/>
      <c r="Q380" s="534"/>
      <c r="R380" s="535">
        <f>CCBASE!$I$4</f>
        <v>8.3986041999999994</v>
      </c>
      <c r="S380" s="540">
        <f>CCBASE!$I$8</f>
        <v>16.25526</v>
      </c>
      <c r="T380" s="534"/>
      <c r="U380" s="540">
        <f>CCBASE!$I$47</f>
        <v>14.41</v>
      </c>
      <c r="V380" s="534"/>
      <c r="W380" s="535">
        <f>CCBASE!$I$41*B380/1000</f>
        <v>59.051569999999998</v>
      </c>
      <c r="X380" s="535"/>
      <c r="Y380" s="535"/>
      <c r="Z380" s="535"/>
      <c r="AA380" s="535"/>
      <c r="AB380" s="535"/>
      <c r="AC380" s="535"/>
      <c r="AD380" s="540">
        <f>CCBASE!$I$33*2</f>
        <v>136.03372999999999</v>
      </c>
    </row>
    <row r="381" spans="1:30" x14ac:dyDescent="0.2">
      <c r="A381" s="533" t="s">
        <v>1193</v>
      </c>
      <c r="B381" s="533">
        <v>1250</v>
      </c>
      <c r="C381" s="533">
        <v>1500</v>
      </c>
      <c r="D381" s="533" t="str">
        <f t="shared" si="14"/>
        <v>CV-W-MUAP12501500</v>
      </c>
      <c r="E381" s="907">
        <f t="shared" si="13"/>
        <v>1321.7943617249998</v>
      </c>
      <c r="F381" s="534">
        <v>18</v>
      </c>
      <c r="G381" s="535">
        <f>F381*CCBASE!$B$51</f>
        <v>648</v>
      </c>
      <c r="H381" s="535">
        <f>CCBASE!$I$17</f>
        <v>98.713171899999992</v>
      </c>
      <c r="I381" s="535">
        <f>(CCBASE!$I$20)/1000*B381</f>
        <v>108.30946437499999</v>
      </c>
      <c r="J381" s="535"/>
      <c r="K381" s="535"/>
      <c r="L381" s="535"/>
      <c r="M381" s="535">
        <f>CCBASE!$I$6*B381/1000</f>
        <v>151.55931874999999</v>
      </c>
      <c r="N381" s="535">
        <f>CCBASE!$I$7*B381/1000</f>
        <v>39.427849999999999</v>
      </c>
      <c r="O381" s="535">
        <f>CCBASE!$I$45*B381/1000</f>
        <v>12.4625</v>
      </c>
      <c r="P381" s="534"/>
      <c r="Q381" s="534"/>
      <c r="R381" s="535">
        <f>CCBASE!$I$4</f>
        <v>8.3986041999999994</v>
      </c>
      <c r="S381" s="540">
        <f>CCBASE!$I$8</f>
        <v>16.25526</v>
      </c>
      <c r="T381" s="534"/>
      <c r="U381" s="540">
        <f>CCBASE!$I$47*2</f>
        <v>28.82</v>
      </c>
      <c r="V381" s="534"/>
      <c r="W381" s="535">
        <f>CCBASE!$I$41*B381/1000</f>
        <v>73.814462499999991</v>
      </c>
      <c r="X381" s="535"/>
      <c r="Y381" s="535"/>
      <c r="Z381" s="535"/>
      <c r="AA381" s="535"/>
      <c r="AB381" s="535"/>
      <c r="AC381" s="535"/>
      <c r="AD381" s="540">
        <f>CCBASE!$I$33*2</f>
        <v>136.03372999999999</v>
      </c>
    </row>
    <row r="382" spans="1:30" x14ac:dyDescent="0.2">
      <c r="A382" s="533" t="s">
        <v>1193</v>
      </c>
      <c r="B382" s="533">
        <v>1500</v>
      </c>
      <c r="C382" s="533">
        <v>1500</v>
      </c>
      <c r="D382" s="533" t="str">
        <f t="shared" si="14"/>
        <v>CV-W-MUAP15001500</v>
      </c>
      <c r="E382" s="907">
        <f t="shared" si="13"/>
        <v>1398.9090808499996</v>
      </c>
      <c r="F382" s="534">
        <v>18</v>
      </c>
      <c r="G382" s="535">
        <f>F382*CCBASE!$B$51</f>
        <v>648</v>
      </c>
      <c r="H382" s="535">
        <f>CCBASE!$I$17</f>
        <v>98.713171899999992</v>
      </c>
      <c r="I382" s="535">
        <f>(CCBASE!$I$20)/1000*B382</f>
        <v>129.97135724999998</v>
      </c>
      <c r="J382" s="535"/>
      <c r="K382" s="535"/>
      <c r="L382" s="535"/>
      <c r="M382" s="535">
        <f>CCBASE!$I$6*B382/1000</f>
        <v>181.87118249999997</v>
      </c>
      <c r="N382" s="535">
        <f>CCBASE!$I$7*B382/1000</f>
        <v>47.313420000000008</v>
      </c>
      <c r="O382" s="535">
        <f>CCBASE!$I$45*B382/1000</f>
        <v>14.955000000000002</v>
      </c>
      <c r="P382" s="534"/>
      <c r="Q382" s="534"/>
      <c r="R382" s="535">
        <f>CCBASE!$I$4</f>
        <v>8.3986041999999994</v>
      </c>
      <c r="S382" s="540">
        <f>CCBASE!$I$8</f>
        <v>16.25526</v>
      </c>
      <c r="T382" s="534"/>
      <c r="U382" s="540">
        <f>CCBASE!$I$47*2</f>
        <v>28.82</v>
      </c>
      <c r="V382" s="534"/>
      <c r="W382" s="535">
        <f>CCBASE!$I$41*B382/1000</f>
        <v>88.577354999999997</v>
      </c>
      <c r="X382" s="535"/>
      <c r="Y382" s="535"/>
      <c r="Z382" s="535"/>
      <c r="AA382" s="535"/>
      <c r="AB382" s="535"/>
      <c r="AC382" s="535"/>
      <c r="AD382" s="540">
        <f>CCBASE!$I$33*2</f>
        <v>136.03372999999999</v>
      </c>
    </row>
    <row r="383" spans="1:30" x14ac:dyDescent="0.2">
      <c r="A383" s="533" t="s">
        <v>1193</v>
      </c>
      <c r="B383" s="533">
        <v>1750</v>
      </c>
      <c r="C383" s="533">
        <v>1500</v>
      </c>
      <c r="D383" s="533" t="str">
        <f t="shared" si="14"/>
        <v>CV-W-MUAP17501500</v>
      </c>
      <c r="E383" s="907">
        <f t="shared" si="13"/>
        <v>1476.0237999749997</v>
      </c>
      <c r="F383" s="534">
        <v>18</v>
      </c>
      <c r="G383" s="535">
        <f>F383*CCBASE!$B$51</f>
        <v>648</v>
      </c>
      <c r="H383" s="535">
        <f>CCBASE!$I$17</f>
        <v>98.713171899999992</v>
      </c>
      <c r="I383" s="535">
        <f>(CCBASE!$I$20)/1000*B383</f>
        <v>151.63325012499999</v>
      </c>
      <c r="J383" s="535"/>
      <c r="K383" s="535"/>
      <c r="L383" s="535"/>
      <c r="M383" s="535">
        <f>CCBASE!$I$6*B383/1000</f>
        <v>212.18304624999996</v>
      </c>
      <c r="N383" s="535">
        <f>CCBASE!$I$7*B383/1000</f>
        <v>55.198990000000002</v>
      </c>
      <c r="O383" s="535">
        <f>CCBASE!$I$45*B383/1000</f>
        <v>17.447500000000002</v>
      </c>
      <c r="P383" s="534"/>
      <c r="Q383" s="534"/>
      <c r="R383" s="535">
        <f>CCBASE!$I$4</f>
        <v>8.3986041999999994</v>
      </c>
      <c r="S383" s="540">
        <f>CCBASE!$I$8</f>
        <v>16.25526</v>
      </c>
      <c r="T383" s="534"/>
      <c r="U383" s="540">
        <f>CCBASE!$I$47*2</f>
        <v>28.82</v>
      </c>
      <c r="V383" s="534"/>
      <c r="W383" s="535">
        <f>CCBASE!$I$41*B383/1000</f>
        <v>103.3402475</v>
      </c>
      <c r="X383" s="535"/>
      <c r="Y383" s="535"/>
      <c r="Z383" s="535"/>
      <c r="AA383" s="535"/>
      <c r="AB383" s="535"/>
      <c r="AC383" s="535"/>
      <c r="AD383" s="540">
        <f>CCBASE!$I$33*2</f>
        <v>136.03372999999999</v>
      </c>
    </row>
    <row r="384" spans="1:30" x14ac:dyDescent="0.2">
      <c r="A384" s="533" t="s">
        <v>1193</v>
      </c>
      <c r="B384" s="533">
        <v>2000</v>
      </c>
      <c r="C384" s="533">
        <v>1500</v>
      </c>
      <c r="D384" s="533" t="str">
        <f t="shared" si="14"/>
        <v>CV-W-MUAP20001500</v>
      </c>
      <c r="E384" s="907">
        <f t="shared" si="13"/>
        <v>1553.1385190999995</v>
      </c>
      <c r="F384" s="534">
        <v>18</v>
      </c>
      <c r="G384" s="535">
        <f>F384*CCBASE!$B$51</f>
        <v>648</v>
      </c>
      <c r="H384" s="535">
        <f>CCBASE!$I$17</f>
        <v>98.713171899999992</v>
      </c>
      <c r="I384" s="535">
        <f>(CCBASE!$I$20)/1000*B384</f>
        <v>173.295143</v>
      </c>
      <c r="J384" s="535"/>
      <c r="K384" s="535"/>
      <c r="L384" s="535"/>
      <c r="M384" s="535">
        <f>CCBASE!$I$6*B384/1000</f>
        <v>242.49490999999995</v>
      </c>
      <c r="N384" s="535">
        <f>CCBASE!$I$7*B384/1000</f>
        <v>63.084560000000003</v>
      </c>
      <c r="O384" s="535">
        <f>CCBASE!$I$45*B384/1000</f>
        <v>19.940000000000001</v>
      </c>
      <c r="P384" s="534"/>
      <c r="Q384" s="534"/>
      <c r="R384" s="535">
        <f>CCBASE!$I$4</f>
        <v>8.3986041999999994</v>
      </c>
      <c r="S384" s="540">
        <f>CCBASE!$I$8</f>
        <v>16.25526</v>
      </c>
      <c r="T384" s="534"/>
      <c r="U384" s="540">
        <f>CCBASE!$I$47*2</f>
        <v>28.82</v>
      </c>
      <c r="V384" s="534"/>
      <c r="W384" s="535">
        <f>CCBASE!$I$41*B384/1000</f>
        <v>118.10314</v>
      </c>
      <c r="X384" s="535"/>
      <c r="Y384" s="535"/>
      <c r="Z384" s="535"/>
      <c r="AA384" s="535"/>
      <c r="AB384" s="535"/>
      <c r="AC384" s="535"/>
      <c r="AD384" s="540">
        <f>CCBASE!$I$33*2</f>
        <v>136.03372999999999</v>
      </c>
    </row>
    <row r="385" spans="1:30" x14ac:dyDescent="0.2">
      <c r="A385" s="533" t="s">
        <v>1193</v>
      </c>
      <c r="B385" s="533">
        <v>2250</v>
      </c>
      <c r="C385" s="533">
        <v>1500</v>
      </c>
      <c r="D385" s="533" t="str">
        <f t="shared" si="14"/>
        <v>CV-W-MUAP22501500</v>
      </c>
      <c r="E385" s="907">
        <f t="shared" si="13"/>
        <v>1666.2532382249997</v>
      </c>
      <c r="F385" s="534">
        <v>19</v>
      </c>
      <c r="G385" s="535">
        <f>F385*CCBASE!$B$51</f>
        <v>684</v>
      </c>
      <c r="H385" s="535">
        <f>CCBASE!$I$17</f>
        <v>98.713171899999992</v>
      </c>
      <c r="I385" s="535">
        <f>(CCBASE!$I$20)/1000*B385</f>
        <v>194.95703587499997</v>
      </c>
      <c r="J385" s="535"/>
      <c r="K385" s="535"/>
      <c r="L385" s="535"/>
      <c r="M385" s="535">
        <f>CCBASE!$I$6*B385/1000</f>
        <v>272.80677374999993</v>
      </c>
      <c r="N385" s="535">
        <f>CCBASE!$I$7*B385/1000</f>
        <v>70.970130000000012</v>
      </c>
      <c r="O385" s="535">
        <f>CCBASE!$I$45*B385/1000</f>
        <v>22.432500000000001</v>
      </c>
      <c r="P385" s="534"/>
      <c r="Q385" s="534"/>
      <c r="R385" s="535">
        <f>CCBASE!$I$4</f>
        <v>8.3986041999999994</v>
      </c>
      <c r="S385" s="540">
        <f>CCBASE!$I$8</f>
        <v>16.25526</v>
      </c>
      <c r="T385" s="534"/>
      <c r="U385" s="540">
        <f>CCBASE!$I$47*2</f>
        <v>28.82</v>
      </c>
      <c r="V385" s="534"/>
      <c r="W385" s="535">
        <f>CCBASE!$I$41*B385/1000</f>
        <v>132.86603249999999</v>
      </c>
      <c r="X385" s="535"/>
      <c r="Y385" s="535"/>
      <c r="Z385" s="535"/>
      <c r="AA385" s="535"/>
      <c r="AB385" s="535"/>
      <c r="AC385" s="535"/>
      <c r="AD385" s="540">
        <f>CCBASE!$I$33*2</f>
        <v>136.03372999999999</v>
      </c>
    </row>
    <row r="386" spans="1:30" x14ac:dyDescent="0.2">
      <c r="A386" s="533" t="s">
        <v>1193</v>
      </c>
      <c r="B386" s="533">
        <v>2500</v>
      </c>
      <c r="C386" s="533">
        <v>1500</v>
      </c>
      <c r="D386" s="533" t="str">
        <f t="shared" si="14"/>
        <v>CV-W-MUAP25001500</v>
      </c>
      <c r="E386" s="907">
        <f t="shared" ref="E386:E449" si="15">SUM(G386:AD386)</f>
        <v>1743.3679573499999</v>
      </c>
      <c r="F386" s="534">
        <v>19</v>
      </c>
      <c r="G386" s="535">
        <f>F386*CCBASE!$B$51</f>
        <v>684</v>
      </c>
      <c r="H386" s="535">
        <f>CCBASE!$I$17</f>
        <v>98.713171899999992</v>
      </c>
      <c r="I386" s="535">
        <f>(CCBASE!$I$20)/1000*B386</f>
        <v>216.61892874999998</v>
      </c>
      <c r="J386" s="535"/>
      <c r="K386" s="535"/>
      <c r="L386" s="535"/>
      <c r="M386" s="535">
        <f>CCBASE!$I$6*B386/1000</f>
        <v>303.11863749999998</v>
      </c>
      <c r="N386" s="535">
        <f>CCBASE!$I$7*B386/1000</f>
        <v>78.855699999999999</v>
      </c>
      <c r="O386" s="535">
        <f>CCBASE!$I$45*B386/1000</f>
        <v>24.925000000000001</v>
      </c>
      <c r="P386" s="534"/>
      <c r="Q386" s="534"/>
      <c r="R386" s="535">
        <f>CCBASE!$I$4</f>
        <v>8.3986041999999994</v>
      </c>
      <c r="S386" s="540">
        <f>CCBASE!$I$8</f>
        <v>16.25526</v>
      </c>
      <c r="T386" s="534"/>
      <c r="U386" s="540">
        <f>CCBASE!$I$47*2</f>
        <v>28.82</v>
      </c>
      <c r="V386" s="534"/>
      <c r="W386" s="535">
        <f>CCBASE!$I$41*B386/1000</f>
        <v>147.62892499999998</v>
      </c>
      <c r="X386" s="535"/>
      <c r="Y386" s="535"/>
      <c r="Z386" s="535"/>
      <c r="AA386" s="535"/>
      <c r="AB386" s="535"/>
      <c r="AC386" s="535"/>
      <c r="AD386" s="540">
        <f>CCBASE!$I$33*2</f>
        <v>136.03372999999999</v>
      </c>
    </row>
    <row r="387" spans="1:30" x14ac:dyDescent="0.2">
      <c r="A387" s="533" t="s">
        <v>1193</v>
      </c>
      <c r="B387" s="533">
        <v>2750</v>
      </c>
      <c r="C387" s="533">
        <v>1500</v>
      </c>
      <c r="D387" s="533" t="str">
        <f t="shared" si="14"/>
        <v>CV-W-MUAP27501500</v>
      </c>
      <c r="E387" s="907">
        <f t="shared" si="15"/>
        <v>1820.4826764749996</v>
      </c>
      <c r="F387" s="534">
        <v>19</v>
      </c>
      <c r="G387" s="535">
        <f>F387*CCBASE!$B$51</f>
        <v>684</v>
      </c>
      <c r="H387" s="535">
        <f>CCBASE!$I$17</f>
        <v>98.713171899999992</v>
      </c>
      <c r="I387" s="535">
        <f>(CCBASE!$I$20)/1000*B387</f>
        <v>238.28082162499999</v>
      </c>
      <c r="J387" s="535"/>
      <c r="K387" s="535"/>
      <c r="L387" s="535"/>
      <c r="M387" s="535">
        <f>CCBASE!$I$6*B387/1000</f>
        <v>333.43050124999991</v>
      </c>
      <c r="N387" s="535">
        <f>CCBASE!$I$7*B387/1000</f>
        <v>86.74127</v>
      </c>
      <c r="O387" s="535">
        <f>CCBASE!$I$45*B387/1000</f>
        <v>27.4175</v>
      </c>
      <c r="P387" s="534"/>
      <c r="Q387" s="534"/>
      <c r="R387" s="535">
        <f>CCBASE!$I$4</f>
        <v>8.3986041999999994</v>
      </c>
      <c r="S387" s="540">
        <f>CCBASE!$I$8</f>
        <v>16.25526</v>
      </c>
      <c r="T387" s="534"/>
      <c r="U387" s="540">
        <f>CCBASE!$I$47*2</f>
        <v>28.82</v>
      </c>
      <c r="V387" s="534"/>
      <c r="W387" s="535">
        <f>CCBASE!$I$41*B387/1000</f>
        <v>162.3918175</v>
      </c>
      <c r="X387" s="535"/>
      <c r="Y387" s="535"/>
      <c r="Z387" s="535"/>
      <c r="AA387" s="535"/>
      <c r="AB387" s="535"/>
      <c r="AC387" s="535"/>
      <c r="AD387" s="540">
        <f>CCBASE!$I$33*2</f>
        <v>136.03372999999999</v>
      </c>
    </row>
    <row r="388" spans="1:30" x14ac:dyDescent="0.2">
      <c r="A388" s="533" t="s">
        <v>1193</v>
      </c>
      <c r="B388" s="533">
        <v>3000</v>
      </c>
      <c r="C388" s="533">
        <v>1500</v>
      </c>
      <c r="D388" s="533" t="str">
        <f t="shared" si="14"/>
        <v>CV-W-MUAP30001500</v>
      </c>
      <c r="E388" s="907">
        <f t="shared" si="15"/>
        <v>1897.5973955999998</v>
      </c>
      <c r="F388" s="534">
        <v>19</v>
      </c>
      <c r="G388" s="535">
        <f>F388*CCBASE!$B$51</f>
        <v>684</v>
      </c>
      <c r="H388" s="535">
        <f>CCBASE!$I$17</f>
        <v>98.713171899999992</v>
      </c>
      <c r="I388" s="535">
        <f>(CCBASE!$I$20)/1000*B388</f>
        <v>259.94271449999997</v>
      </c>
      <c r="J388" s="535"/>
      <c r="K388" s="535"/>
      <c r="L388" s="535"/>
      <c r="M388" s="535">
        <f>CCBASE!$I$6*B388/1000</f>
        <v>363.74236499999995</v>
      </c>
      <c r="N388" s="535">
        <f>CCBASE!$I$7*B388/1000</f>
        <v>94.626840000000016</v>
      </c>
      <c r="O388" s="535">
        <f>CCBASE!$I$45*B388/1000</f>
        <v>29.910000000000004</v>
      </c>
      <c r="P388" s="534"/>
      <c r="Q388" s="534"/>
      <c r="R388" s="535">
        <f>CCBASE!$I$4</f>
        <v>8.3986041999999994</v>
      </c>
      <c r="S388" s="540">
        <f>CCBASE!$I$8</f>
        <v>16.25526</v>
      </c>
      <c r="T388" s="534"/>
      <c r="U388" s="540">
        <f>CCBASE!$I$47*2</f>
        <v>28.82</v>
      </c>
      <c r="V388" s="534"/>
      <c r="W388" s="535">
        <f>CCBASE!$I$41*B388/1000</f>
        <v>177.15470999999999</v>
      </c>
      <c r="X388" s="535"/>
      <c r="Y388" s="535"/>
      <c r="Z388" s="535"/>
      <c r="AA388" s="535"/>
      <c r="AB388" s="535"/>
      <c r="AC388" s="535"/>
      <c r="AD388" s="540">
        <f>CCBASE!$I$33*2</f>
        <v>136.03372999999999</v>
      </c>
    </row>
    <row r="389" spans="1:30" x14ac:dyDescent="0.2">
      <c r="A389" s="533" t="s">
        <v>1193</v>
      </c>
      <c r="B389" s="533">
        <v>1000</v>
      </c>
      <c r="C389" s="533">
        <v>1750</v>
      </c>
      <c r="D389" s="533" t="str">
        <f t="shared" si="14"/>
        <v>CV-W-MUAP10001750</v>
      </c>
      <c r="E389" s="907">
        <f t="shared" si="15"/>
        <v>1368.7283216999999</v>
      </c>
      <c r="F389" s="534">
        <v>18</v>
      </c>
      <c r="G389" s="535">
        <f>F389*CCBASE!$B$51</f>
        <v>648</v>
      </c>
      <c r="H389" s="535">
        <f>CCBASE!$I$18</f>
        <v>152.00290699999999</v>
      </c>
      <c r="I389" s="535">
        <f>(CCBASE!$I$20)/1000*B389</f>
        <v>86.647571499999998</v>
      </c>
      <c r="J389" s="535"/>
      <c r="K389" s="535"/>
      <c r="L389" s="535"/>
      <c r="M389" s="535">
        <f>CCBASE!$I$6*B389/1000</f>
        <v>121.24745499999997</v>
      </c>
      <c r="N389" s="535">
        <f>CCBASE!$I$7*B389/1000</f>
        <v>31.542280000000002</v>
      </c>
      <c r="O389" s="535">
        <f>CCBASE!$I$45*B389/1000</f>
        <v>9.9700000000000006</v>
      </c>
      <c r="P389" s="534"/>
      <c r="Q389" s="534"/>
      <c r="R389" s="535">
        <f>CCBASE!$I$4</f>
        <v>8.3986041999999994</v>
      </c>
      <c r="S389" s="540">
        <f>CCBASE!$I$8</f>
        <v>16.25526</v>
      </c>
      <c r="T389" s="534"/>
      <c r="U389" s="540">
        <f>CCBASE!$I$47</f>
        <v>14.41</v>
      </c>
      <c r="V389" s="534"/>
      <c r="W389" s="535">
        <f>CCBASE!$I$42*B389/1000</f>
        <v>70.880589999999998</v>
      </c>
      <c r="X389" s="535"/>
      <c r="Y389" s="535"/>
      <c r="Z389" s="535"/>
      <c r="AA389" s="535"/>
      <c r="AB389" s="535"/>
      <c r="AC389" s="535"/>
      <c r="AD389" s="540">
        <f>CCBASE!$I$34*2</f>
        <v>209.37365399999999</v>
      </c>
    </row>
    <row r="390" spans="1:30" x14ac:dyDescent="0.2">
      <c r="A390" s="533" t="s">
        <v>1193</v>
      </c>
      <c r="B390" s="533">
        <v>1250</v>
      </c>
      <c r="C390" s="533">
        <v>1750</v>
      </c>
      <c r="D390" s="533" t="str">
        <f t="shared" si="14"/>
        <v>CV-W-MUAP12501750</v>
      </c>
      <c r="E390" s="907">
        <f t="shared" si="15"/>
        <v>1463.2102958249998</v>
      </c>
      <c r="F390" s="534">
        <v>18</v>
      </c>
      <c r="G390" s="535">
        <f>F390*CCBASE!$B$51</f>
        <v>648</v>
      </c>
      <c r="H390" s="535">
        <f>CCBASE!$I$18</f>
        <v>152.00290699999999</v>
      </c>
      <c r="I390" s="535">
        <f>(CCBASE!$I$20)/1000*B390</f>
        <v>108.30946437499999</v>
      </c>
      <c r="J390" s="535"/>
      <c r="K390" s="535"/>
      <c r="L390" s="535"/>
      <c r="M390" s="535">
        <f>CCBASE!$I$6*B390/1000</f>
        <v>151.55931874999999</v>
      </c>
      <c r="N390" s="535">
        <f>CCBASE!$I$7*B390/1000</f>
        <v>39.427849999999999</v>
      </c>
      <c r="O390" s="535">
        <f>CCBASE!$I$45*B390/1000</f>
        <v>12.4625</v>
      </c>
      <c r="P390" s="534"/>
      <c r="Q390" s="534"/>
      <c r="R390" s="535">
        <f>CCBASE!$I$4</f>
        <v>8.3986041999999994</v>
      </c>
      <c r="S390" s="540">
        <f>CCBASE!$I$8</f>
        <v>16.25526</v>
      </c>
      <c r="T390" s="534"/>
      <c r="U390" s="540">
        <f>CCBASE!$I$47*2</f>
        <v>28.82</v>
      </c>
      <c r="V390" s="534"/>
      <c r="W390" s="535">
        <f>CCBASE!$I$42*B390/1000</f>
        <v>88.600737500000008</v>
      </c>
      <c r="X390" s="535"/>
      <c r="Y390" s="535"/>
      <c r="Z390" s="535"/>
      <c r="AA390" s="535"/>
      <c r="AB390" s="535"/>
      <c r="AC390" s="535"/>
      <c r="AD390" s="540">
        <f>CCBASE!$I$34*2</f>
        <v>209.37365399999999</v>
      </c>
    </row>
    <row r="391" spans="1:30" x14ac:dyDescent="0.2">
      <c r="A391" s="533" t="s">
        <v>1193</v>
      </c>
      <c r="B391" s="533">
        <v>1500</v>
      </c>
      <c r="C391" s="533">
        <v>1750</v>
      </c>
      <c r="D391" s="533" t="str">
        <f t="shared" si="14"/>
        <v>CV-W-MUAP15001750</v>
      </c>
      <c r="E391" s="907">
        <f t="shared" si="15"/>
        <v>1543.2822699499998</v>
      </c>
      <c r="F391" s="534">
        <v>18</v>
      </c>
      <c r="G391" s="535">
        <f>F391*CCBASE!$B$51</f>
        <v>648</v>
      </c>
      <c r="H391" s="535">
        <f>CCBASE!$I$18</f>
        <v>152.00290699999999</v>
      </c>
      <c r="I391" s="535">
        <f>(CCBASE!$I$20)/1000*B391</f>
        <v>129.97135724999998</v>
      </c>
      <c r="J391" s="535"/>
      <c r="K391" s="535"/>
      <c r="L391" s="535"/>
      <c r="M391" s="535">
        <f>CCBASE!$I$6*B391/1000</f>
        <v>181.87118249999997</v>
      </c>
      <c r="N391" s="535">
        <f>CCBASE!$I$7*B391/1000</f>
        <v>47.313420000000008</v>
      </c>
      <c r="O391" s="535">
        <f>CCBASE!$I$45*B391/1000</f>
        <v>14.955000000000002</v>
      </c>
      <c r="P391" s="534"/>
      <c r="Q391" s="534"/>
      <c r="R391" s="535">
        <f>CCBASE!$I$4</f>
        <v>8.3986041999999994</v>
      </c>
      <c r="S391" s="540">
        <f>CCBASE!$I$8</f>
        <v>16.25526</v>
      </c>
      <c r="T391" s="534"/>
      <c r="U391" s="540">
        <f>CCBASE!$I$47*2</f>
        <v>28.82</v>
      </c>
      <c r="V391" s="534"/>
      <c r="W391" s="535">
        <f>CCBASE!$I$42*B391/1000</f>
        <v>106.32088499999999</v>
      </c>
      <c r="X391" s="535"/>
      <c r="Y391" s="535"/>
      <c r="Z391" s="535"/>
      <c r="AA391" s="535"/>
      <c r="AB391" s="535"/>
      <c r="AC391" s="535"/>
      <c r="AD391" s="540">
        <f>CCBASE!$I$34*2</f>
        <v>209.37365399999999</v>
      </c>
    </row>
    <row r="392" spans="1:30" x14ac:dyDescent="0.2">
      <c r="A392" s="533" t="s">
        <v>1193</v>
      </c>
      <c r="B392" s="533">
        <v>1750</v>
      </c>
      <c r="C392" s="533">
        <v>1750</v>
      </c>
      <c r="D392" s="533" t="str">
        <f t="shared" si="14"/>
        <v>CV-W-MUAP17501750</v>
      </c>
      <c r="E392" s="907">
        <f t="shared" si="15"/>
        <v>1623.354244075</v>
      </c>
      <c r="F392" s="534">
        <v>18</v>
      </c>
      <c r="G392" s="535">
        <f>F392*CCBASE!$B$51</f>
        <v>648</v>
      </c>
      <c r="H392" s="535">
        <f>CCBASE!$I$18</f>
        <v>152.00290699999999</v>
      </c>
      <c r="I392" s="535">
        <f>(CCBASE!$I$20)/1000*B392</f>
        <v>151.63325012499999</v>
      </c>
      <c r="J392" s="535"/>
      <c r="K392" s="535"/>
      <c r="L392" s="535"/>
      <c r="M392" s="535">
        <f>CCBASE!$I$6*B392/1000</f>
        <v>212.18304624999996</v>
      </c>
      <c r="N392" s="535">
        <f>CCBASE!$I$7*B392/1000</f>
        <v>55.198990000000002</v>
      </c>
      <c r="O392" s="535">
        <f>CCBASE!$I$45*B392/1000</f>
        <v>17.447500000000002</v>
      </c>
      <c r="P392" s="534"/>
      <c r="Q392" s="534"/>
      <c r="R392" s="535">
        <f>CCBASE!$I$4</f>
        <v>8.3986041999999994</v>
      </c>
      <c r="S392" s="540">
        <f>CCBASE!$I$8</f>
        <v>16.25526</v>
      </c>
      <c r="T392" s="534"/>
      <c r="U392" s="540">
        <f>CCBASE!$I$47*2</f>
        <v>28.82</v>
      </c>
      <c r="V392" s="534"/>
      <c r="W392" s="535">
        <f>CCBASE!$I$42*B392/1000</f>
        <v>124.0410325</v>
      </c>
      <c r="X392" s="535"/>
      <c r="Y392" s="535"/>
      <c r="Z392" s="535"/>
      <c r="AA392" s="535"/>
      <c r="AB392" s="535"/>
      <c r="AC392" s="535"/>
      <c r="AD392" s="540">
        <f>CCBASE!$I$34*2</f>
        <v>209.37365399999999</v>
      </c>
    </row>
    <row r="393" spans="1:30" x14ac:dyDescent="0.2">
      <c r="A393" s="533" t="s">
        <v>1193</v>
      </c>
      <c r="B393" s="533">
        <v>2000</v>
      </c>
      <c r="C393" s="533">
        <v>1750</v>
      </c>
      <c r="D393" s="533" t="str">
        <f t="shared" si="14"/>
        <v>CV-W-MUAP20001750</v>
      </c>
      <c r="E393" s="907">
        <f t="shared" si="15"/>
        <v>1703.4262181999998</v>
      </c>
      <c r="F393" s="534">
        <v>18</v>
      </c>
      <c r="G393" s="535">
        <f>F393*CCBASE!$B$51</f>
        <v>648</v>
      </c>
      <c r="H393" s="535">
        <f>CCBASE!$I$18</f>
        <v>152.00290699999999</v>
      </c>
      <c r="I393" s="535">
        <f>(CCBASE!$I$20)/1000*B393</f>
        <v>173.295143</v>
      </c>
      <c r="J393" s="535"/>
      <c r="K393" s="535"/>
      <c r="L393" s="535"/>
      <c r="M393" s="535">
        <f>CCBASE!$I$6*B393/1000</f>
        <v>242.49490999999995</v>
      </c>
      <c r="N393" s="535">
        <f>CCBASE!$I$7*B393/1000</f>
        <v>63.084560000000003</v>
      </c>
      <c r="O393" s="535">
        <f>CCBASE!$I$45*B393/1000</f>
        <v>19.940000000000001</v>
      </c>
      <c r="P393" s="534"/>
      <c r="Q393" s="534"/>
      <c r="R393" s="535">
        <f>CCBASE!$I$4</f>
        <v>8.3986041999999994</v>
      </c>
      <c r="S393" s="540">
        <f>CCBASE!$I$8</f>
        <v>16.25526</v>
      </c>
      <c r="T393" s="534"/>
      <c r="U393" s="540">
        <f>CCBASE!$I$47*2</f>
        <v>28.82</v>
      </c>
      <c r="V393" s="534"/>
      <c r="W393" s="535">
        <f>CCBASE!$I$42*B393/1000</f>
        <v>141.76118</v>
      </c>
      <c r="X393" s="535"/>
      <c r="Y393" s="535"/>
      <c r="Z393" s="535"/>
      <c r="AA393" s="535"/>
      <c r="AB393" s="535"/>
      <c r="AC393" s="535"/>
      <c r="AD393" s="540">
        <f>CCBASE!$I$34*2</f>
        <v>209.37365399999999</v>
      </c>
    </row>
    <row r="394" spans="1:30" x14ac:dyDescent="0.2">
      <c r="A394" s="533" t="s">
        <v>1193</v>
      </c>
      <c r="B394" s="533">
        <v>2250</v>
      </c>
      <c r="C394" s="533">
        <v>1750</v>
      </c>
      <c r="D394" s="533" t="str">
        <f t="shared" si="14"/>
        <v>CV-W-MUAP22501750</v>
      </c>
      <c r="E394" s="907">
        <f t="shared" si="15"/>
        <v>1819.4981923249993</v>
      </c>
      <c r="F394" s="534">
        <v>19</v>
      </c>
      <c r="G394" s="535">
        <f>F394*CCBASE!$B$51</f>
        <v>684</v>
      </c>
      <c r="H394" s="535">
        <f>CCBASE!$I$18</f>
        <v>152.00290699999999</v>
      </c>
      <c r="I394" s="535">
        <f>(CCBASE!$I$20)/1000*B394</f>
        <v>194.95703587499997</v>
      </c>
      <c r="J394" s="535"/>
      <c r="K394" s="535"/>
      <c r="L394" s="535"/>
      <c r="M394" s="535">
        <f>CCBASE!$I$6*B394/1000</f>
        <v>272.80677374999993</v>
      </c>
      <c r="N394" s="535">
        <f>CCBASE!$I$7*B394/1000</f>
        <v>70.970130000000012</v>
      </c>
      <c r="O394" s="535">
        <f>CCBASE!$I$45*B394/1000</f>
        <v>22.432500000000001</v>
      </c>
      <c r="P394" s="534"/>
      <c r="Q394" s="534"/>
      <c r="R394" s="535">
        <f>CCBASE!$I$4</f>
        <v>8.3986041999999994</v>
      </c>
      <c r="S394" s="540">
        <f>CCBASE!$I$8</f>
        <v>16.25526</v>
      </c>
      <c r="T394" s="534"/>
      <c r="U394" s="540">
        <f>CCBASE!$I$47*2</f>
        <v>28.82</v>
      </c>
      <c r="V394" s="534"/>
      <c r="W394" s="535">
        <f>CCBASE!$I$42*B394/1000</f>
        <v>159.48132749999999</v>
      </c>
      <c r="X394" s="535"/>
      <c r="Y394" s="535"/>
      <c r="Z394" s="535"/>
      <c r="AA394" s="535"/>
      <c r="AB394" s="535"/>
      <c r="AC394" s="535"/>
      <c r="AD394" s="540">
        <f>CCBASE!$I$34*2</f>
        <v>209.37365399999999</v>
      </c>
    </row>
    <row r="395" spans="1:30" x14ac:dyDescent="0.2">
      <c r="A395" s="533" t="s">
        <v>1193</v>
      </c>
      <c r="B395" s="533">
        <v>2500</v>
      </c>
      <c r="C395" s="533">
        <v>1750</v>
      </c>
      <c r="D395" s="533" t="str">
        <f t="shared" si="14"/>
        <v>CV-W-MUAP25001750</v>
      </c>
      <c r="E395" s="907">
        <f t="shared" si="15"/>
        <v>1924.4951664499997</v>
      </c>
      <c r="F395" s="534">
        <v>19</v>
      </c>
      <c r="G395" s="535">
        <f>F395*CCBASE!$B$51</f>
        <v>684</v>
      </c>
      <c r="H395" s="535">
        <f>CCBASE!$I$18</f>
        <v>152.00290699999999</v>
      </c>
      <c r="I395" s="535">
        <f>(CCBASE!$I$20)/1000*B395</f>
        <v>216.61892874999998</v>
      </c>
      <c r="J395" s="535"/>
      <c r="K395" s="535"/>
      <c r="L395" s="535"/>
      <c r="M395" s="535">
        <f>CCBASE!$I$6*B395/1000</f>
        <v>303.11863749999998</v>
      </c>
      <c r="N395" s="535">
        <f>CCBASE!$I$7*B395/1000</f>
        <v>78.855699999999999</v>
      </c>
      <c r="O395" s="535">
        <f>CCBASE!$I$45*B395/1000*2</f>
        <v>49.85</v>
      </c>
      <c r="P395" s="534"/>
      <c r="Q395" s="534"/>
      <c r="R395" s="535">
        <f>CCBASE!$I$4</f>
        <v>8.3986041999999994</v>
      </c>
      <c r="S395" s="540">
        <f>CCBASE!$I$8</f>
        <v>16.25526</v>
      </c>
      <c r="T395" s="534"/>
      <c r="U395" s="540">
        <f>CCBASE!$I$47*2</f>
        <v>28.82</v>
      </c>
      <c r="V395" s="534"/>
      <c r="W395" s="535">
        <f>CCBASE!$I$42*B395/1000</f>
        <v>177.20147500000002</v>
      </c>
      <c r="X395" s="535"/>
      <c r="Y395" s="535"/>
      <c r="Z395" s="535"/>
      <c r="AA395" s="535"/>
      <c r="AB395" s="535"/>
      <c r="AC395" s="535"/>
      <c r="AD395" s="540">
        <f>CCBASE!$I$34*2</f>
        <v>209.37365399999999</v>
      </c>
    </row>
    <row r="396" spans="1:30" x14ac:dyDescent="0.2">
      <c r="A396" s="533" t="s">
        <v>1193</v>
      </c>
      <c r="B396" s="533">
        <v>2750</v>
      </c>
      <c r="C396" s="533">
        <v>1750</v>
      </c>
      <c r="D396" s="533" t="str">
        <f t="shared" si="14"/>
        <v>CV-W-MUAP27501750</v>
      </c>
      <c r="E396" s="907">
        <f t="shared" si="15"/>
        <v>2007.0596405749998</v>
      </c>
      <c r="F396" s="534">
        <v>19</v>
      </c>
      <c r="G396" s="535">
        <f>F396*CCBASE!$B$51</f>
        <v>684</v>
      </c>
      <c r="H396" s="535">
        <f>CCBASE!$I$18</f>
        <v>152.00290699999999</v>
      </c>
      <c r="I396" s="535">
        <f>(CCBASE!$I$20)/1000*B396</f>
        <v>238.28082162499999</v>
      </c>
      <c r="J396" s="535"/>
      <c r="K396" s="535"/>
      <c r="L396" s="535"/>
      <c r="M396" s="535">
        <f>CCBASE!$I$6*B396/1000</f>
        <v>333.43050124999991</v>
      </c>
      <c r="N396" s="535">
        <f>CCBASE!$I$7*B396/1000</f>
        <v>86.74127</v>
      </c>
      <c r="O396" s="535">
        <f>CCBASE!$I$45*B396/1000*2</f>
        <v>54.835000000000001</v>
      </c>
      <c r="P396" s="534"/>
      <c r="Q396" s="534"/>
      <c r="R396" s="535">
        <f>CCBASE!$I$4</f>
        <v>8.3986041999999994</v>
      </c>
      <c r="S396" s="540">
        <f>CCBASE!$I$8</f>
        <v>16.25526</v>
      </c>
      <c r="T396" s="534"/>
      <c r="U396" s="540">
        <f>CCBASE!$I$47*2</f>
        <v>28.82</v>
      </c>
      <c r="V396" s="534"/>
      <c r="W396" s="535">
        <f>CCBASE!$I$42*B396/1000</f>
        <v>194.92162249999998</v>
      </c>
      <c r="X396" s="535"/>
      <c r="Y396" s="535"/>
      <c r="Z396" s="535"/>
      <c r="AA396" s="535"/>
      <c r="AB396" s="535"/>
      <c r="AC396" s="535"/>
      <c r="AD396" s="540">
        <f>CCBASE!$I$34*2</f>
        <v>209.37365399999999</v>
      </c>
    </row>
    <row r="397" spans="1:30" x14ac:dyDescent="0.2">
      <c r="A397" s="533" t="s">
        <v>1193</v>
      </c>
      <c r="B397" s="533">
        <v>3000</v>
      </c>
      <c r="C397" s="533">
        <v>1750</v>
      </c>
      <c r="D397" s="533" t="str">
        <f t="shared" si="14"/>
        <v>CV-W-MUAP30001750</v>
      </c>
      <c r="E397" s="907">
        <f t="shared" si="15"/>
        <v>2089.6241146999996</v>
      </c>
      <c r="F397" s="534">
        <v>19</v>
      </c>
      <c r="G397" s="535">
        <f>F397*CCBASE!$B$51</f>
        <v>684</v>
      </c>
      <c r="H397" s="535">
        <f>CCBASE!$I$18</f>
        <v>152.00290699999999</v>
      </c>
      <c r="I397" s="535">
        <f>(CCBASE!$I$20)/1000*B397</f>
        <v>259.94271449999997</v>
      </c>
      <c r="J397" s="535"/>
      <c r="K397" s="535"/>
      <c r="L397" s="535"/>
      <c r="M397" s="535">
        <f>CCBASE!$I$6*B397/1000</f>
        <v>363.74236499999995</v>
      </c>
      <c r="N397" s="535">
        <f>CCBASE!$I$7*B397/1000</f>
        <v>94.626840000000016</v>
      </c>
      <c r="O397" s="535">
        <f>CCBASE!$I$45*B397/1000*2</f>
        <v>59.820000000000007</v>
      </c>
      <c r="P397" s="534"/>
      <c r="Q397" s="534"/>
      <c r="R397" s="535">
        <f>CCBASE!$I$4</f>
        <v>8.3986041999999994</v>
      </c>
      <c r="S397" s="540">
        <f>CCBASE!$I$8</f>
        <v>16.25526</v>
      </c>
      <c r="T397" s="534"/>
      <c r="U397" s="540">
        <f>CCBASE!$I$47*2</f>
        <v>28.82</v>
      </c>
      <c r="V397" s="534"/>
      <c r="W397" s="535">
        <f>CCBASE!$I$42*B397/1000</f>
        <v>212.64176999999998</v>
      </c>
      <c r="X397" s="535"/>
      <c r="Y397" s="535"/>
      <c r="Z397" s="535"/>
      <c r="AA397" s="535"/>
      <c r="AB397" s="535"/>
      <c r="AC397" s="535"/>
      <c r="AD397" s="540">
        <f>CCBASE!$I$34*2</f>
        <v>209.37365399999999</v>
      </c>
    </row>
    <row r="398" spans="1:30" x14ac:dyDescent="0.2">
      <c r="A398" s="533" t="s">
        <v>1187</v>
      </c>
      <c r="B398" s="533">
        <v>1000</v>
      </c>
      <c r="C398" s="533">
        <v>2500</v>
      </c>
      <c r="D398" s="533" t="str">
        <f t="shared" si="14"/>
        <v>CV-I-MUAP10002500</v>
      </c>
      <c r="E398" s="907">
        <f t="shared" si="15"/>
        <v>1998.81400534</v>
      </c>
      <c r="F398" s="534">
        <v>27</v>
      </c>
      <c r="G398" s="535">
        <f>F398*CCBASE!$B$51</f>
        <v>972</v>
      </c>
      <c r="H398" s="535">
        <f>CCBASE!$I$16*2</f>
        <v>158.00022014000001</v>
      </c>
      <c r="I398" s="535">
        <f>(CCBASE!$I$20)/1000*2*B398</f>
        <v>173.295143</v>
      </c>
      <c r="J398" s="535"/>
      <c r="K398" s="535"/>
      <c r="L398" s="535"/>
      <c r="M398" s="535">
        <f>CCBASE!$I$6*B398/1000*2</f>
        <v>242.49490999999995</v>
      </c>
      <c r="N398" s="535">
        <f>CCBASE!$I$7*B398/1000*2</f>
        <v>63.084560000000003</v>
      </c>
      <c r="O398" s="535">
        <f>CCBASE!$I$45*B398/1000*2</f>
        <v>19.940000000000001</v>
      </c>
      <c r="P398" s="534"/>
      <c r="Q398" s="534"/>
      <c r="R398" s="535">
        <f>CCBASE!$I$4</f>
        <v>8.3986041999999994</v>
      </c>
      <c r="S398" s="540">
        <f>CCBASE!$I$8*2</f>
        <v>32.51052</v>
      </c>
      <c r="T398" s="534"/>
      <c r="U398" s="540">
        <f>CCBASE!$I$47*2</f>
        <v>28.82</v>
      </c>
      <c r="V398" s="534"/>
      <c r="W398" s="540">
        <f>CCBASE!$I$40*B398/1000*2</f>
        <v>82.616079999999997</v>
      </c>
      <c r="X398" s="540"/>
      <c r="Y398" s="540"/>
      <c r="Z398" s="540"/>
      <c r="AA398" s="540"/>
      <c r="AB398" s="540"/>
      <c r="AC398" s="540"/>
      <c r="AD398" s="540">
        <f>CCBASE!$I$32*4</f>
        <v>217.65396799999999</v>
      </c>
    </row>
    <row r="399" spans="1:30" x14ac:dyDescent="0.2">
      <c r="A399" s="533" t="s">
        <v>1187</v>
      </c>
      <c r="B399" s="533">
        <v>1250</v>
      </c>
      <c r="C399" s="533">
        <v>2500</v>
      </c>
      <c r="D399" s="533" t="str">
        <f t="shared" si="14"/>
        <v>CV-I-MUAP12502500</v>
      </c>
      <c r="E399" s="907">
        <f t="shared" si="15"/>
        <v>2172.99167859</v>
      </c>
      <c r="F399" s="534">
        <v>27</v>
      </c>
      <c r="G399" s="535">
        <f>F399*CCBASE!$B$51</f>
        <v>972</v>
      </c>
      <c r="H399" s="535">
        <f>CCBASE!$I$16*2</f>
        <v>158.00022014000001</v>
      </c>
      <c r="I399" s="535">
        <f>(CCBASE!$I$20)/1000*2*B399</f>
        <v>216.61892874999998</v>
      </c>
      <c r="J399" s="535"/>
      <c r="K399" s="535"/>
      <c r="L399" s="535"/>
      <c r="M399" s="535">
        <f>CCBASE!$I$6*B399/1000*2</f>
        <v>303.11863749999998</v>
      </c>
      <c r="N399" s="535">
        <f>CCBASE!$I$7*B399/1000*2</f>
        <v>78.855699999999999</v>
      </c>
      <c r="O399" s="535">
        <f>CCBASE!$I$45*B399/1000*2</f>
        <v>24.925000000000001</v>
      </c>
      <c r="P399" s="534"/>
      <c r="Q399" s="534"/>
      <c r="R399" s="535">
        <f>CCBASE!$I$4</f>
        <v>8.3986041999999994</v>
      </c>
      <c r="S399" s="540">
        <f>CCBASE!$I$8*2</f>
        <v>32.51052</v>
      </c>
      <c r="T399" s="534"/>
      <c r="U399" s="535">
        <f>CCBASE!$I$47*4</f>
        <v>57.64</v>
      </c>
      <c r="V399" s="534"/>
      <c r="W399" s="540">
        <f>CCBASE!$I$40*B399/1000*2</f>
        <v>103.27009999999999</v>
      </c>
      <c r="X399" s="540"/>
      <c r="Y399" s="540"/>
      <c r="Z399" s="540"/>
      <c r="AA399" s="540"/>
      <c r="AB399" s="540"/>
      <c r="AC399" s="540"/>
      <c r="AD399" s="540">
        <f>CCBASE!$I$32*4</f>
        <v>217.65396799999999</v>
      </c>
    </row>
    <row r="400" spans="1:30" x14ac:dyDescent="0.2">
      <c r="A400" s="533" t="s">
        <v>1187</v>
      </c>
      <c r="B400" s="533">
        <v>1500</v>
      </c>
      <c r="C400" s="533">
        <v>2500</v>
      </c>
      <c r="D400" s="533" t="str">
        <f t="shared" si="14"/>
        <v>CV-I-MUAP15002500</v>
      </c>
      <c r="E400" s="907">
        <f t="shared" si="15"/>
        <v>2318.3493518400001</v>
      </c>
      <c r="F400" s="534">
        <v>27</v>
      </c>
      <c r="G400" s="535">
        <f>F400*CCBASE!$B$51</f>
        <v>972</v>
      </c>
      <c r="H400" s="535">
        <f>CCBASE!$I$16*2</f>
        <v>158.00022014000001</v>
      </c>
      <c r="I400" s="535">
        <f>(CCBASE!$I$20)/1000*2*B400</f>
        <v>259.94271449999997</v>
      </c>
      <c r="J400" s="535"/>
      <c r="K400" s="535"/>
      <c r="L400" s="535"/>
      <c r="M400" s="535">
        <f>CCBASE!$I$6*B400/1000*2</f>
        <v>363.74236499999995</v>
      </c>
      <c r="N400" s="535">
        <f>CCBASE!$I$7*B400/1000*2</f>
        <v>94.626840000000016</v>
      </c>
      <c r="O400" s="535">
        <f>CCBASE!$I$45*B400/1000*2</f>
        <v>29.910000000000004</v>
      </c>
      <c r="P400" s="534"/>
      <c r="Q400" s="534"/>
      <c r="R400" s="535">
        <f>CCBASE!$I$4</f>
        <v>8.3986041999999994</v>
      </c>
      <c r="S400" s="540">
        <f>CCBASE!$I$8*2</f>
        <v>32.51052</v>
      </c>
      <c r="T400" s="534"/>
      <c r="U400" s="535">
        <f>CCBASE!$I$47*4</f>
        <v>57.64</v>
      </c>
      <c r="V400" s="534"/>
      <c r="W400" s="540">
        <f>CCBASE!$I$40*B400/1000*2</f>
        <v>123.92412</v>
      </c>
      <c r="X400" s="540"/>
      <c r="Y400" s="540"/>
      <c r="Z400" s="540"/>
      <c r="AA400" s="540"/>
      <c r="AB400" s="540"/>
      <c r="AC400" s="540"/>
      <c r="AD400" s="540">
        <f>CCBASE!$I$32*4</f>
        <v>217.65396799999999</v>
      </c>
    </row>
    <row r="401" spans="1:45" x14ac:dyDescent="0.2">
      <c r="A401" s="533" t="s">
        <v>1187</v>
      </c>
      <c r="B401" s="533">
        <v>1750</v>
      </c>
      <c r="C401" s="533">
        <v>2500</v>
      </c>
      <c r="D401" s="533" t="str">
        <f t="shared" si="14"/>
        <v>CV-I-MUAP17502500</v>
      </c>
      <c r="E401" s="907">
        <f t="shared" si="15"/>
        <v>2463.7070250900001</v>
      </c>
      <c r="F401" s="534">
        <v>27</v>
      </c>
      <c r="G401" s="535">
        <f>F401*CCBASE!$B$51</f>
        <v>972</v>
      </c>
      <c r="H401" s="535">
        <f>CCBASE!$I$16*2</f>
        <v>158.00022014000001</v>
      </c>
      <c r="I401" s="535">
        <f>(CCBASE!$I$20)/1000*2*B401</f>
        <v>303.26650024999998</v>
      </c>
      <c r="J401" s="535"/>
      <c r="K401" s="535"/>
      <c r="L401" s="535"/>
      <c r="M401" s="535">
        <f>CCBASE!$I$6*B401/1000*2</f>
        <v>424.36609249999992</v>
      </c>
      <c r="N401" s="535">
        <f>CCBASE!$I$7*B401/1000*2</f>
        <v>110.39798</v>
      </c>
      <c r="O401" s="535">
        <f>CCBASE!$I$45*B401/1000*2</f>
        <v>34.895000000000003</v>
      </c>
      <c r="P401" s="534"/>
      <c r="Q401" s="534"/>
      <c r="R401" s="535">
        <f>CCBASE!$I$4</f>
        <v>8.3986041999999994</v>
      </c>
      <c r="S401" s="540">
        <f>CCBASE!$I$8*2</f>
        <v>32.51052</v>
      </c>
      <c r="T401" s="534"/>
      <c r="U401" s="535">
        <f>CCBASE!$I$47*4</f>
        <v>57.64</v>
      </c>
      <c r="V401" s="534"/>
      <c r="W401" s="540">
        <f>CCBASE!$I$40*B401/1000*2</f>
        <v>144.57813999999999</v>
      </c>
      <c r="X401" s="540"/>
      <c r="Y401" s="540"/>
      <c r="Z401" s="540"/>
      <c r="AA401" s="540"/>
      <c r="AB401" s="540"/>
      <c r="AC401" s="540"/>
      <c r="AD401" s="540">
        <f>CCBASE!$I$32*4</f>
        <v>217.65396799999999</v>
      </c>
    </row>
    <row r="402" spans="1:45" x14ac:dyDescent="0.2">
      <c r="A402" s="533" t="s">
        <v>1187</v>
      </c>
      <c r="B402" s="533">
        <v>2000</v>
      </c>
      <c r="C402" s="533">
        <v>2500</v>
      </c>
      <c r="D402" s="533" t="str">
        <f t="shared" si="14"/>
        <v>CV-I-MUAP20002500</v>
      </c>
      <c r="E402" s="907">
        <f t="shared" si="15"/>
        <v>2609.0646983399997</v>
      </c>
      <c r="F402" s="534">
        <v>27</v>
      </c>
      <c r="G402" s="535">
        <f>F402*CCBASE!$B$51</f>
        <v>972</v>
      </c>
      <c r="H402" s="535">
        <f>CCBASE!$I$16*2</f>
        <v>158.00022014000001</v>
      </c>
      <c r="I402" s="535">
        <f>(CCBASE!$I$20)/1000*2*B402</f>
        <v>346.59028599999999</v>
      </c>
      <c r="J402" s="535"/>
      <c r="K402" s="535"/>
      <c r="L402" s="535"/>
      <c r="M402" s="535">
        <f>CCBASE!$I$6*B402/1000*2</f>
        <v>484.9898199999999</v>
      </c>
      <c r="N402" s="535">
        <f>CCBASE!$I$7*B402/1000*2</f>
        <v>126.16912000000001</v>
      </c>
      <c r="O402" s="535">
        <f>CCBASE!$I$45*B402/1000*2</f>
        <v>39.880000000000003</v>
      </c>
      <c r="P402" s="534"/>
      <c r="Q402" s="534"/>
      <c r="R402" s="535">
        <f>CCBASE!$I$4</f>
        <v>8.3986041999999994</v>
      </c>
      <c r="S402" s="540">
        <f>CCBASE!$I$8*2</f>
        <v>32.51052</v>
      </c>
      <c r="T402" s="534"/>
      <c r="U402" s="535">
        <f>CCBASE!$I$47*4</f>
        <v>57.64</v>
      </c>
      <c r="V402" s="534"/>
      <c r="W402" s="540">
        <f>CCBASE!$I$40*B402/1000*2</f>
        <v>165.23215999999999</v>
      </c>
      <c r="X402" s="540"/>
      <c r="Y402" s="540"/>
      <c r="Z402" s="540"/>
      <c r="AA402" s="540"/>
      <c r="AB402" s="540"/>
      <c r="AC402" s="540"/>
      <c r="AD402" s="540">
        <f>CCBASE!$I$32*4</f>
        <v>217.65396799999999</v>
      </c>
    </row>
    <row r="403" spans="1:45" x14ac:dyDescent="0.2">
      <c r="A403" s="533" t="s">
        <v>1187</v>
      </c>
      <c r="B403" s="533">
        <v>2250</v>
      </c>
      <c r="C403" s="533">
        <v>2500</v>
      </c>
      <c r="D403" s="533" t="str">
        <f t="shared" si="14"/>
        <v>CV-I-MUAP22502500</v>
      </c>
      <c r="E403" s="907">
        <f t="shared" si="15"/>
        <v>2754.4223715899993</v>
      </c>
      <c r="F403" s="534">
        <v>27</v>
      </c>
      <c r="G403" s="535">
        <f>F403*CCBASE!$B$51</f>
        <v>972</v>
      </c>
      <c r="H403" s="535">
        <f>CCBASE!$I$16*2</f>
        <v>158.00022014000001</v>
      </c>
      <c r="I403" s="535">
        <f>(CCBASE!$I$20)/1000*2*B403</f>
        <v>389.91407174999995</v>
      </c>
      <c r="J403" s="535"/>
      <c r="K403" s="535"/>
      <c r="L403" s="535"/>
      <c r="M403" s="535">
        <f>CCBASE!$I$6*B403/1000*2</f>
        <v>545.61354749999987</v>
      </c>
      <c r="N403" s="535">
        <f>CCBASE!$I$7*B403/1000*2</f>
        <v>141.94026000000002</v>
      </c>
      <c r="O403" s="535">
        <f>CCBASE!$I$45*B403/1000*2</f>
        <v>44.865000000000002</v>
      </c>
      <c r="P403" s="534"/>
      <c r="Q403" s="534"/>
      <c r="R403" s="535">
        <f>CCBASE!$I$4</f>
        <v>8.3986041999999994</v>
      </c>
      <c r="S403" s="540">
        <f>CCBASE!$I$8*2</f>
        <v>32.51052</v>
      </c>
      <c r="T403" s="534"/>
      <c r="U403" s="535">
        <f>CCBASE!$I$47*4</f>
        <v>57.64</v>
      </c>
      <c r="V403" s="534"/>
      <c r="W403" s="540">
        <f>CCBASE!$I$40*B403/1000*2</f>
        <v>185.88618</v>
      </c>
      <c r="X403" s="540"/>
      <c r="Y403" s="540"/>
      <c r="Z403" s="540"/>
      <c r="AA403" s="540"/>
      <c r="AB403" s="540"/>
      <c r="AC403" s="540"/>
      <c r="AD403" s="540">
        <f>CCBASE!$I$32*4</f>
        <v>217.65396799999999</v>
      </c>
    </row>
    <row r="404" spans="1:45" x14ac:dyDescent="0.2">
      <c r="A404" s="533" t="s">
        <v>1187</v>
      </c>
      <c r="B404" s="533">
        <v>2500</v>
      </c>
      <c r="C404" s="533">
        <v>2500</v>
      </c>
      <c r="D404" s="533" t="str">
        <f t="shared" si="14"/>
        <v>CV-I-MUAP25002500</v>
      </c>
      <c r="E404" s="907">
        <f t="shared" si="15"/>
        <v>2899.7800448399998</v>
      </c>
      <c r="F404" s="534">
        <v>27</v>
      </c>
      <c r="G404" s="535">
        <f>F404*CCBASE!$B$51</f>
        <v>972</v>
      </c>
      <c r="H404" s="535">
        <f>CCBASE!$I$16*2</f>
        <v>158.00022014000001</v>
      </c>
      <c r="I404" s="535">
        <f>(CCBASE!$I$20)/1000*2*B404</f>
        <v>433.23785749999996</v>
      </c>
      <c r="J404" s="535"/>
      <c r="K404" s="535"/>
      <c r="L404" s="535"/>
      <c r="M404" s="535">
        <f>CCBASE!$I$6*B404/1000*2</f>
        <v>606.23727499999995</v>
      </c>
      <c r="N404" s="535">
        <f>CCBASE!$I$7*B404/1000*2</f>
        <v>157.7114</v>
      </c>
      <c r="O404" s="535">
        <f>CCBASE!$I$45*B404/1000*2</f>
        <v>49.85</v>
      </c>
      <c r="P404" s="534"/>
      <c r="Q404" s="534"/>
      <c r="R404" s="535">
        <f>CCBASE!$I$4</f>
        <v>8.3986041999999994</v>
      </c>
      <c r="S404" s="540">
        <f>CCBASE!$I$8*2</f>
        <v>32.51052</v>
      </c>
      <c r="T404" s="534"/>
      <c r="U404" s="535">
        <f>CCBASE!$I$47*4</f>
        <v>57.64</v>
      </c>
      <c r="V404" s="534"/>
      <c r="W404" s="540">
        <f>CCBASE!$I$40*B404/1000*2</f>
        <v>206.54019999999997</v>
      </c>
      <c r="X404" s="540"/>
      <c r="Y404" s="540"/>
      <c r="Z404" s="540"/>
      <c r="AA404" s="540"/>
      <c r="AB404" s="540"/>
      <c r="AC404" s="540"/>
      <c r="AD404" s="540">
        <f>CCBASE!$I$32*4</f>
        <v>217.65396799999999</v>
      </c>
    </row>
    <row r="405" spans="1:45" x14ac:dyDescent="0.2">
      <c r="A405" s="533" t="s">
        <v>1187</v>
      </c>
      <c r="B405" s="533">
        <v>2750</v>
      </c>
      <c r="C405" s="533">
        <v>2500</v>
      </c>
      <c r="D405" s="533" t="str">
        <f t="shared" si="14"/>
        <v>CV-I-MUAP27502500</v>
      </c>
      <c r="E405" s="907">
        <f t="shared" si="15"/>
        <v>3045.1377180899995</v>
      </c>
      <c r="F405" s="534">
        <v>27</v>
      </c>
      <c r="G405" s="535">
        <f>F405*CCBASE!$B$51</f>
        <v>972</v>
      </c>
      <c r="H405" s="535">
        <f>CCBASE!$I$16*2</f>
        <v>158.00022014000001</v>
      </c>
      <c r="I405" s="535">
        <f>(CCBASE!$I$20)/1000*2*B405</f>
        <v>476.56164324999997</v>
      </c>
      <c r="J405" s="535"/>
      <c r="K405" s="535"/>
      <c r="L405" s="535"/>
      <c r="M405" s="535">
        <f>CCBASE!$I$6*B405/1000*2</f>
        <v>666.86100249999981</v>
      </c>
      <c r="N405" s="535">
        <f>CCBASE!$I$7*B405/1000*2</f>
        <v>173.48254</v>
      </c>
      <c r="O405" s="535">
        <f>CCBASE!$I$45*B405/1000*2</f>
        <v>54.835000000000001</v>
      </c>
      <c r="P405" s="534"/>
      <c r="Q405" s="534"/>
      <c r="R405" s="535">
        <f>CCBASE!$I$4</f>
        <v>8.3986041999999994</v>
      </c>
      <c r="S405" s="540">
        <f>CCBASE!$I$8*2</f>
        <v>32.51052</v>
      </c>
      <c r="T405" s="534"/>
      <c r="U405" s="535">
        <f>CCBASE!$I$47*4</f>
        <v>57.64</v>
      </c>
      <c r="V405" s="534"/>
      <c r="W405" s="540">
        <f>CCBASE!$I$40*B405/1000*2</f>
        <v>227.19422</v>
      </c>
      <c r="X405" s="540"/>
      <c r="Y405" s="540"/>
      <c r="Z405" s="540"/>
      <c r="AA405" s="540"/>
      <c r="AB405" s="540"/>
      <c r="AC405" s="540"/>
      <c r="AD405" s="540">
        <f>CCBASE!$I$32*4</f>
        <v>217.65396799999999</v>
      </c>
    </row>
    <row r="406" spans="1:45" x14ac:dyDescent="0.2">
      <c r="A406" s="533" t="s">
        <v>1187</v>
      </c>
      <c r="B406" s="533">
        <v>3000</v>
      </c>
      <c r="C406" s="533">
        <v>2500</v>
      </c>
      <c r="D406" s="533" t="str">
        <f t="shared" si="14"/>
        <v>CV-I-MUAP30002500</v>
      </c>
      <c r="E406" s="907">
        <f t="shared" si="15"/>
        <v>3190.49539134</v>
      </c>
      <c r="F406" s="534">
        <v>27</v>
      </c>
      <c r="G406" s="535">
        <f>F406*CCBASE!$B$51</f>
        <v>972</v>
      </c>
      <c r="H406" s="535">
        <f>CCBASE!$I$16*2</f>
        <v>158.00022014000001</v>
      </c>
      <c r="I406" s="535">
        <f>(CCBASE!$I$20)/1000*2*B406</f>
        <v>519.88542899999993</v>
      </c>
      <c r="J406" s="535"/>
      <c r="K406" s="535"/>
      <c r="L406" s="535"/>
      <c r="M406" s="535">
        <f>CCBASE!$I$6*B406/1000*2</f>
        <v>727.4847299999999</v>
      </c>
      <c r="N406" s="535">
        <f>CCBASE!$I$7*B406/1000*2</f>
        <v>189.25368000000003</v>
      </c>
      <c r="O406" s="535">
        <f>CCBASE!$I$45*B406/1000*2</f>
        <v>59.820000000000007</v>
      </c>
      <c r="P406" s="534"/>
      <c r="Q406" s="534"/>
      <c r="R406" s="535">
        <f>CCBASE!$I$4</f>
        <v>8.3986041999999994</v>
      </c>
      <c r="S406" s="540">
        <f>CCBASE!$I$8*2</f>
        <v>32.51052</v>
      </c>
      <c r="T406" s="534"/>
      <c r="U406" s="535">
        <f>CCBASE!$I$47*4</f>
        <v>57.64</v>
      </c>
      <c r="V406" s="534"/>
      <c r="W406" s="540">
        <f>CCBASE!$I$40*B406/1000*2</f>
        <v>247.84824</v>
      </c>
      <c r="X406" s="540"/>
      <c r="Y406" s="540"/>
      <c r="Z406" s="540"/>
      <c r="AA406" s="540"/>
      <c r="AB406" s="540"/>
      <c r="AC406" s="540"/>
      <c r="AD406" s="540">
        <f>CCBASE!$I$32*4</f>
        <v>217.65396799999999</v>
      </c>
    </row>
    <row r="407" spans="1:45" x14ac:dyDescent="0.2">
      <c r="A407" s="533" t="s">
        <v>1181</v>
      </c>
      <c r="B407" s="533">
        <v>1000</v>
      </c>
      <c r="C407" s="533">
        <v>2500</v>
      </c>
      <c r="D407" s="533" t="str">
        <f t="shared" si="14"/>
        <v>CMW-I-MUAP10002500</v>
      </c>
      <c r="E407" s="907">
        <f t="shared" si="15"/>
        <v>1998.81400534</v>
      </c>
      <c r="F407" s="534">
        <v>27</v>
      </c>
      <c r="G407" s="535">
        <f>F407*CCBASE!$B$51</f>
        <v>972</v>
      </c>
      <c r="H407" s="535">
        <f>CCBASE!$I$16*2</f>
        <v>158.00022014000001</v>
      </c>
      <c r="I407" s="535">
        <f>(CCBASE!$I$20)/1000*2*B407</f>
        <v>173.295143</v>
      </c>
      <c r="J407" s="535"/>
      <c r="K407" s="535"/>
      <c r="L407" s="535"/>
      <c r="M407" s="535">
        <f>CCBASE!$I$6*B407/1000*2</f>
        <v>242.49490999999995</v>
      </c>
      <c r="N407" s="535">
        <f>CCBASE!$I$7*B407/1000*2</f>
        <v>63.084560000000003</v>
      </c>
      <c r="O407" s="535">
        <f>CCBASE!$I$45*B407/1000*2</f>
        <v>19.940000000000001</v>
      </c>
      <c r="P407" s="534"/>
      <c r="Q407" s="534"/>
      <c r="R407" s="535">
        <f>CCBASE!$I$4</f>
        <v>8.3986041999999994</v>
      </c>
      <c r="S407" s="540">
        <f>CCBASE!$I$8*2</f>
        <v>32.51052</v>
      </c>
      <c r="T407" s="534"/>
      <c r="U407" s="540">
        <f>CCBASE!$I$47*2</f>
        <v>28.82</v>
      </c>
      <c r="V407" s="534"/>
      <c r="W407" s="540">
        <f>CCBASE!$I$40*B407/1000*2</f>
        <v>82.616079999999997</v>
      </c>
      <c r="X407" s="540"/>
      <c r="Y407" s="540"/>
      <c r="Z407" s="540"/>
      <c r="AA407" s="540"/>
      <c r="AB407" s="540"/>
      <c r="AC407" s="540"/>
      <c r="AD407" s="540">
        <f>CCBASE!$I$32*4</f>
        <v>217.65396799999999</v>
      </c>
    </row>
    <row r="408" spans="1:45" x14ac:dyDescent="0.2">
      <c r="A408" s="533" t="s">
        <v>1181</v>
      </c>
      <c r="B408" s="533">
        <v>1250</v>
      </c>
      <c r="C408" s="533">
        <v>2500</v>
      </c>
      <c r="D408" s="533" t="str">
        <f t="shared" si="14"/>
        <v>CMW-I-MUAP12502500</v>
      </c>
      <c r="E408" s="907">
        <f t="shared" si="15"/>
        <v>2172.99167859</v>
      </c>
      <c r="F408" s="534">
        <v>27</v>
      </c>
      <c r="G408" s="535">
        <f>F408*CCBASE!$B$51</f>
        <v>972</v>
      </c>
      <c r="H408" s="535">
        <f>CCBASE!$I$16*2</f>
        <v>158.00022014000001</v>
      </c>
      <c r="I408" s="535">
        <f>(CCBASE!$I$20)/1000*2*B408</f>
        <v>216.61892874999998</v>
      </c>
      <c r="J408" s="535"/>
      <c r="K408" s="535"/>
      <c r="L408" s="535"/>
      <c r="M408" s="535">
        <f>CCBASE!$I$6*B408/1000*2</f>
        <v>303.11863749999998</v>
      </c>
      <c r="N408" s="535">
        <f>CCBASE!$I$7*B408/1000*2</f>
        <v>78.855699999999999</v>
      </c>
      <c r="O408" s="535">
        <f>CCBASE!$I$45*B408/1000*2</f>
        <v>24.925000000000001</v>
      </c>
      <c r="P408" s="534"/>
      <c r="Q408" s="534"/>
      <c r="R408" s="535">
        <f>CCBASE!$I$4</f>
        <v>8.3986041999999994</v>
      </c>
      <c r="S408" s="540">
        <f>CCBASE!$I$8*2</f>
        <v>32.51052</v>
      </c>
      <c r="T408" s="534"/>
      <c r="U408" s="540">
        <f>CCBASE!$I$47*4</f>
        <v>57.64</v>
      </c>
      <c r="V408" s="534"/>
      <c r="W408" s="540">
        <f>CCBASE!$I$40*B408/1000*2</f>
        <v>103.27009999999999</v>
      </c>
      <c r="X408" s="540"/>
      <c r="Y408" s="540"/>
      <c r="Z408" s="540"/>
      <c r="AA408" s="540"/>
      <c r="AB408" s="540"/>
      <c r="AC408" s="540"/>
      <c r="AD408" s="540">
        <f>CCBASE!$I$32*4</f>
        <v>217.65396799999999</v>
      </c>
    </row>
    <row r="409" spans="1:45" x14ac:dyDescent="0.2">
      <c r="A409" s="533" t="s">
        <v>1181</v>
      </c>
      <c r="B409" s="533">
        <v>1500</v>
      </c>
      <c r="C409" s="533">
        <v>2500</v>
      </c>
      <c r="D409" s="533" t="str">
        <f t="shared" si="14"/>
        <v>CMW-I-MUAP15002500</v>
      </c>
      <c r="E409" s="907">
        <f t="shared" si="15"/>
        <v>2318.3493518400001</v>
      </c>
      <c r="F409" s="534">
        <v>27</v>
      </c>
      <c r="G409" s="535">
        <f>F409*CCBASE!$B$51</f>
        <v>972</v>
      </c>
      <c r="H409" s="535">
        <f>CCBASE!$I$16*2</f>
        <v>158.00022014000001</v>
      </c>
      <c r="I409" s="535">
        <f>(CCBASE!$I$20)/1000*2*B409</f>
        <v>259.94271449999997</v>
      </c>
      <c r="J409" s="535"/>
      <c r="K409" s="535"/>
      <c r="L409" s="535"/>
      <c r="M409" s="535">
        <f>CCBASE!$I$6*B409/1000*2</f>
        <v>363.74236499999995</v>
      </c>
      <c r="N409" s="535">
        <f>CCBASE!$I$7*B409/1000*2</f>
        <v>94.626840000000016</v>
      </c>
      <c r="O409" s="535">
        <f>CCBASE!$I$45*B409/1000*2</f>
        <v>29.910000000000004</v>
      </c>
      <c r="P409" s="534"/>
      <c r="Q409" s="534"/>
      <c r="R409" s="535">
        <f>CCBASE!$I$4</f>
        <v>8.3986041999999994</v>
      </c>
      <c r="S409" s="540">
        <f>CCBASE!$I$8*2</f>
        <v>32.51052</v>
      </c>
      <c r="T409" s="534"/>
      <c r="U409" s="540">
        <f>CCBASE!$I$47*4</f>
        <v>57.64</v>
      </c>
      <c r="V409" s="534"/>
      <c r="W409" s="540">
        <f>CCBASE!$I$40*B409/1000*2</f>
        <v>123.92412</v>
      </c>
      <c r="X409" s="540"/>
      <c r="Y409" s="540"/>
      <c r="Z409" s="540"/>
      <c r="AA409" s="540"/>
      <c r="AB409" s="540"/>
      <c r="AC409" s="540"/>
      <c r="AD409" s="540">
        <f>CCBASE!$I$32*4</f>
        <v>217.65396799999999</v>
      </c>
    </row>
    <row r="410" spans="1:45" x14ac:dyDescent="0.2">
      <c r="A410" s="533" t="s">
        <v>1181</v>
      </c>
      <c r="B410" s="533">
        <v>1750</v>
      </c>
      <c r="C410" s="533">
        <v>2500</v>
      </c>
      <c r="D410" s="533" t="str">
        <f t="shared" si="14"/>
        <v>CMW-I-MUAP17502500</v>
      </c>
      <c r="E410" s="907">
        <f t="shared" si="15"/>
        <v>2463.7070250900001</v>
      </c>
      <c r="F410" s="534">
        <v>27</v>
      </c>
      <c r="G410" s="535">
        <f>F410*CCBASE!$B$51</f>
        <v>972</v>
      </c>
      <c r="H410" s="535">
        <f>CCBASE!$I$16*2</f>
        <v>158.00022014000001</v>
      </c>
      <c r="I410" s="535">
        <f>(CCBASE!$I$20)/1000*2*B410</f>
        <v>303.26650024999998</v>
      </c>
      <c r="J410" s="535"/>
      <c r="K410" s="535"/>
      <c r="L410" s="535"/>
      <c r="M410" s="535">
        <f>CCBASE!$I$6*B410/1000*2</f>
        <v>424.36609249999992</v>
      </c>
      <c r="N410" s="535">
        <f>CCBASE!$I$7*B410/1000*2</f>
        <v>110.39798</v>
      </c>
      <c r="O410" s="535">
        <f>CCBASE!$I$45*B410/1000*2</f>
        <v>34.895000000000003</v>
      </c>
      <c r="P410" s="534"/>
      <c r="Q410" s="534"/>
      <c r="R410" s="535">
        <f>CCBASE!$I$4</f>
        <v>8.3986041999999994</v>
      </c>
      <c r="S410" s="540">
        <f>CCBASE!$I$8*2</f>
        <v>32.51052</v>
      </c>
      <c r="T410" s="534"/>
      <c r="U410" s="540">
        <f>CCBASE!$I$47*4</f>
        <v>57.64</v>
      </c>
      <c r="V410" s="534"/>
      <c r="W410" s="540">
        <f>CCBASE!$I$40*B410/1000*2</f>
        <v>144.57813999999999</v>
      </c>
      <c r="X410" s="540"/>
      <c r="Y410" s="540"/>
      <c r="Z410" s="540"/>
      <c r="AA410" s="540"/>
      <c r="AB410" s="540"/>
      <c r="AC410" s="540"/>
      <c r="AD410" s="540">
        <f>CCBASE!$I$32*4</f>
        <v>217.65396799999999</v>
      </c>
    </row>
    <row r="411" spans="1:45" x14ac:dyDescent="0.2">
      <c r="A411" s="533" t="s">
        <v>1181</v>
      </c>
      <c r="B411" s="533">
        <v>2000</v>
      </c>
      <c r="C411" s="533">
        <v>2500</v>
      </c>
      <c r="D411" s="533" t="str">
        <f t="shared" si="14"/>
        <v>CMW-I-MUAP20002500</v>
      </c>
      <c r="E411" s="907">
        <f t="shared" si="15"/>
        <v>2609.0646983399997</v>
      </c>
      <c r="F411" s="534">
        <v>27</v>
      </c>
      <c r="G411" s="535">
        <f>F411*CCBASE!$B$51</f>
        <v>972</v>
      </c>
      <c r="H411" s="535">
        <f>CCBASE!$I$16*2</f>
        <v>158.00022014000001</v>
      </c>
      <c r="I411" s="535">
        <f>(CCBASE!$I$20)/1000*2*B411</f>
        <v>346.59028599999999</v>
      </c>
      <c r="J411" s="535"/>
      <c r="K411" s="535"/>
      <c r="L411" s="535"/>
      <c r="M411" s="535">
        <f>CCBASE!$I$6*B411/1000*2</f>
        <v>484.9898199999999</v>
      </c>
      <c r="N411" s="535">
        <f>CCBASE!$I$7*B411/1000*2</f>
        <v>126.16912000000001</v>
      </c>
      <c r="O411" s="535">
        <f>CCBASE!$I$45*B411/1000*2</f>
        <v>39.880000000000003</v>
      </c>
      <c r="P411" s="534"/>
      <c r="Q411" s="534"/>
      <c r="R411" s="535">
        <f>CCBASE!$I$4</f>
        <v>8.3986041999999994</v>
      </c>
      <c r="S411" s="540">
        <f>CCBASE!$I$8*2</f>
        <v>32.51052</v>
      </c>
      <c r="T411" s="534"/>
      <c r="U411" s="540">
        <f>CCBASE!$I$47*4</f>
        <v>57.64</v>
      </c>
      <c r="V411" s="534"/>
      <c r="W411" s="540">
        <f>CCBASE!$I$40*B411/1000*2</f>
        <v>165.23215999999999</v>
      </c>
      <c r="X411" s="540"/>
      <c r="Y411" s="540"/>
      <c r="Z411" s="540"/>
      <c r="AA411" s="540"/>
      <c r="AB411" s="540"/>
      <c r="AC411" s="540"/>
      <c r="AD411" s="540">
        <f>CCBASE!$I$32*4</f>
        <v>217.65396799999999</v>
      </c>
    </row>
    <row r="412" spans="1:45" x14ac:dyDescent="0.2">
      <c r="A412" s="533" t="s">
        <v>1181</v>
      </c>
      <c r="B412" s="533">
        <v>2250</v>
      </c>
      <c r="C412" s="533">
        <v>2500</v>
      </c>
      <c r="D412" s="533" t="str">
        <f t="shared" si="14"/>
        <v>CMW-I-MUAP22502500</v>
      </c>
      <c r="E412" s="907">
        <f t="shared" si="15"/>
        <v>2754.4223715899993</v>
      </c>
      <c r="F412" s="534">
        <v>27</v>
      </c>
      <c r="G412" s="535">
        <f>F412*CCBASE!$B$51</f>
        <v>972</v>
      </c>
      <c r="H412" s="535">
        <f>CCBASE!$I$16*2</f>
        <v>158.00022014000001</v>
      </c>
      <c r="I412" s="535">
        <f>(CCBASE!$I$20)/1000*2*B412</f>
        <v>389.91407174999995</v>
      </c>
      <c r="J412" s="535"/>
      <c r="K412" s="535"/>
      <c r="L412" s="535"/>
      <c r="M412" s="535">
        <f>CCBASE!$I$6*B412/1000*2</f>
        <v>545.61354749999987</v>
      </c>
      <c r="N412" s="535">
        <f>CCBASE!$I$7*B412/1000*2</f>
        <v>141.94026000000002</v>
      </c>
      <c r="O412" s="535">
        <f>CCBASE!$I$45*B412/1000*2</f>
        <v>44.865000000000002</v>
      </c>
      <c r="P412" s="534"/>
      <c r="Q412" s="534"/>
      <c r="R412" s="535">
        <f>CCBASE!$I$4</f>
        <v>8.3986041999999994</v>
      </c>
      <c r="S412" s="540">
        <f>CCBASE!$I$8*2</f>
        <v>32.51052</v>
      </c>
      <c r="T412" s="534"/>
      <c r="U412" s="540">
        <f>CCBASE!$I$47*4</f>
        <v>57.64</v>
      </c>
      <c r="V412" s="534"/>
      <c r="W412" s="540">
        <f>CCBASE!$I$40*B412/1000*2</f>
        <v>185.88618</v>
      </c>
      <c r="X412" s="540"/>
      <c r="Y412" s="540"/>
      <c r="Z412" s="540"/>
      <c r="AA412" s="540"/>
      <c r="AB412" s="540"/>
      <c r="AC412" s="540"/>
      <c r="AD412" s="540">
        <f>CCBASE!$I$32*4</f>
        <v>217.65396799999999</v>
      </c>
    </row>
    <row r="413" spans="1:45" x14ac:dyDescent="0.2">
      <c r="A413" s="533" t="s">
        <v>1181</v>
      </c>
      <c r="B413" s="533">
        <v>2500</v>
      </c>
      <c r="C413" s="533">
        <v>2500</v>
      </c>
      <c r="D413" s="533" t="str">
        <f t="shared" si="14"/>
        <v>CMW-I-MUAP25002500</v>
      </c>
      <c r="E413" s="907">
        <f t="shared" si="15"/>
        <v>2899.7800448399998</v>
      </c>
      <c r="F413" s="534">
        <v>27</v>
      </c>
      <c r="G413" s="535">
        <f>F413*CCBASE!$B$51</f>
        <v>972</v>
      </c>
      <c r="H413" s="535">
        <f>CCBASE!$I$16*2</f>
        <v>158.00022014000001</v>
      </c>
      <c r="I413" s="535">
        <f>(CCBASE!$I$20)/1000*2*B413</f>
        <v>433.23785749999996</v>
      </c>
      <c r="J413" s="535"/>
      <c r="K413" s="535"/>
      <c r="L413" s="535"/>
      <c r="M413" s="535">
        <f>CCBASE!$I$6*B413/1000*2</f>
        <v>606.23727499999995</v>
      </c>
      <c r="N413" s="535">
        <f>CCBASE!$I$7*B413/1000*2</f>
        <v>157.7114</v>
      </c>
      <c r="O413" s="535">
        <f>CCBASE!$I$45*B413/1000*2</f>
        <v>49.85</v>
      </c>
      <c r="P413" s="534"/>
      <c r="Q413" s="534"/>
      <c r="R413" s="535">
        <f>CCBASE!$I$4</f>
        <v>8.3986041999999994</v>
      </c>
      <c r="S413" s="540">
        <f>CCBASE!$I$8*2</f>
        <v>32.51052</v>
      </c>
      <c r="T413" s="534"/>
      <c r="U413" s="540">
        <f>CCBASE!$I$47*4</f>
        <v>57.64</v>
      </c>
      <c r="V413" s="534"/>
      <c r="W413" s="540">
        <f>CCBASE!$I$40*B413/1000*2</f>
        <v>206.54019999999997</v>
      </c>
      <c r="X413" s="540"/>
      <c r="Y413" s="540"/>
      <c r="Z413" s="540"/>
      <c r="AA413" s="540"/>
      <c r="AB413" s="540"/>
      <c r="AC413" s="540"/>
      <c r="AD413" s="540">
        <f>CCBASE!$I$32*4</f>
        <v>217.65396799999999</v>
      </c>
    </row>
    <row r="414" spans="1:45" x14ac:dyDescent="0.2">
      <c r="A414" s="533" t="s">
        <v>1181</v>
      </c>
      <c r="B414" s="533">
        <v>2750</v>
      </c>
      <c r="C414" s="533">
        <v>2500</v>
      </c>
      <c r="D414" s="533" t="str">
        <f t="shared" si="14"/>
        <v>CMW-I-MUAP27502500</v>
      </c>
      <c r="E414" s="907">
        <f t="shared" si="15"/>
        <v>3045.1377180899995</v>
      </c>
      <c r="F414" s="534">
        <v>27</v>
      </c>
      <c r="G414" s="535">
        <f>F414*CCBASE!$B$51</f>
        <v>972</v>
      </c>
      <c r="H414" s="535">
        <f>CCBASE!$I$16*2</f>
        <v>158.00022014000001</v>
      </c>
      <c r="I414" s="535">
        <f>(CCBASE!$I$20)/1000*2*B414</f>
        <v>476.56164324999997</v>
      </c>
      <c r="J414" s="535"/>
      <c r="K414" s="535"/>
      <c r="L414" s="535"/>
      <c r="M414" s="535">
        <f>CCBASE!$I$6*B414/1000*2</f>
        <v>666.86100249999981</v>
      </c>
      <c r="N414" s="535">
        <f>CCBASE!$I$7*B414/1000*2</f>
        <v>173.48254</v>
      </c>
      <c r="O414" s="535">
        <f>CCBASE!$I$45*B414/1000*2</f>
        <v>54.835000000000001</v>
      </c>
      <c r="P414" s="534"/>
      <c r="Q414" s="534"/>
      <c r="R414" s="535">
        <f>CCBASE!$I$4</f>
        <v>8.3986041999999994</v>
      </c>
      <c r="S414" s="540">
        <f>CCBASE!$I$8*2</f>
        <v>32.51052</v>
      </c>
      <c r="T414" s="534"/>
      <c r="U414" s="540">
        <f>CCBASE!$I$47*4</f>
        <v>57.64</v>
      </c>
      <c r="V414" s="534"/>
      <c r="W414" s="540">
        <f>CCBASE!$I$40*B414/1000*2</f>
        <v>227.19422</v>
      </c>
      <c r="X414" s="540"/>
      <c r="Y414" s="540"/>
      <c r="Z414" s="540"/>
      <c r="AA414" s="540"/>
      <c r="AB414" s="540"/>
      <c r="AC414" s="540"/>
      <c r="AD414" s="540">
        <f>CCBASE!$I$32*4</f>
        <v>217.65396799999999</v>
      </c>
    </row>
    <row r="415" spans="1:45" x14ac:dyDescent="0.2">
      <c r="A415" s="533" t="s">
        <v>1181</v>
      </c>
      <c r="B415" s="533">
        <v>3000</v>
      </c>
      <c r="C415" s="533">
        <v>2500</v>
      </c>
      <c r="D415" s="533" t="str">
        <f t="shared" si="14"/>
        <v>CMW-I-MUAP30002500</v>
      </c>
      <c r="E415" s="907">
        <f t="shared" si="15"/>
        <v>3190.49539134</v>
      </c>
      <c r="F415" s="534">
        <v>27</v>
      </c>
      <c r="G415" s="535">
        <f>F415*CCBASE!$B$51</f>
        <v>972</v>
      </c>
      <c r="H415" s="535">
        <f>CCBASE!$I$16*2</f>
        <v>158.00022014000001</v>
      </c>
      <c r="I415" s="535">
        <f>(CCBASE!$I$20)/1000*2*B415</f>
        <v>519.88542899999993</v>
      </c>
      <c r="J415" s="535"/>
      <c r="K415" s="535"/>
      <c r="L415" s="535"/>
      <c r="M415" s="535">
        <f>CCBASE!$I$6*B415/1000*2</f>
        <v>727.4847299999999</v>
      </c>
      <c r="N415" s="535">
        <f>CCBASE!$I$7*B415/1000*2</f>
        <v>189.25368000000003</v>
      </c>
      <c r="O415" s="535">
        <f>CCBASE!$I$45*B415/1000*2</f>
        <v>59.820000000000007</v>
      </c>
      <c r="P415" s="534"/>
      <c r="Q415" s="534"/>
      <c r="R415" s="535">
        <f>CCBASE!$I$4</f>
        <v>8.3986041999999994</v>
      </c>
      <c r="S415" s="540">
        <f>CCBASE!$I$8*2</f>
        <v>32.51052</v>
      </c>
      <c r="T415" s="534"/>
      <c r="U415" s="540">
        <f>CCBASE!$I$47*4</f>
        <v>57.64</v>
      </c>
      <c r="V415" s="534"/>
      <c r="W415" s="540">
        <f>CCBASE!$I$40*B415/1000*2</f>
        <v>247.84824</v>
      </c>
      <c r="X415" s="540"/>
      <c r="Y415" s="540"/>
      <c r="Z415" s="540"/>
      <c r="AA415" s="540"/>
      <c r="AB415" s="540"/>
      <c r="AC415" s="540"/>
      <c r="AD415" s="540">
        <f>CCBASE!$I$32*4</f>
        <v>217.65396799999999</v>
      </c>
    </row>
    <row r="416" spans="1:45" x14ac:dyDescent="0.2">
      <c r="A416" s="533" t="s">
        <v>1173</v>
      </c>
      <c r="B416" s="533">
        <v>1000</v>
      </c>
      <c r="C416" s="533">
        <v>1000</v>
      </c>
      <c r="D416" s="533" t="str">
        <f t="shared" ref="D416:D479" si="16">$A416&amp;B416&amp;C416</f>
        <v>KVI-LL10001000</v>
      </c>
      <c r="E416" s="907">
        <f t="shared" si="15"/>
        <v>0</v>
      </c>
      <c r="F416" s="534"/>
      <c r="G416" s="535">
        <f>F416*CCBASE!$B$51</f>
        <v>0</v>
      </c>
      <c r="H416" s="535"/>
      <c r="I416" s="535"/>
      <c r="J416" s="535"/>
      <c r="K416" s="535"/>
      <c r="L416" s="534"/>
      <c r="M416" s="535"/>
      <c r="N416" s="535"/>
      <c r="O416" s="535"/>
      <c r="P416" s="535"/>
      <c r="Q416" s="535"/>
      <c r="R416" s="535"/>
      <c r="S416" s="535"/>
      <c r="T416" s="534"/>
      <c r="U416" s="535"/>
      <c r="V416" s="535"/>
      <c r="W416" s="535"/>
      <c r="X416" s="535"/>
      <c r="Y416" s="535"/>
      <c r="Z416" s="535"/>
      <c r="AA416" s="535"/>
      <c r="AB416" s="535"/>
      <c r="AC416" s="535"/>
      <c r="AD416" s="535"/>
      <c r="AI416" s="537"/>
      <c r="AJ416" s="537"/>
      <c r="AK416" s="538"/>
      <c r="AL416" s="538"/>
      <c r="AM416" s="538"/>
      <c r="AN416" s="538"/>
      <c r="AO416" s="538"/>
      <c r="AP416" s="538"/>
      <c r="AQ416" s="538"/>
      <c r="AR416" s="538"/>
      <c r="AS416" s="538"/>
    </row>
    <row r="417" spans="1:45" x14ac:dyDescent="0.2">
      <c r="A417" s="533" t="s">
        <v>1173</v>
      </c>
      <c r="B417" s="533">
        <v>1250</v>
      </c>
      <c r="C417" s="533">
        <v>1000</v>
      </c>
      <c r="D417" s="533" t="str">
        <f t="shared" si="16"/>
        <v>KVI-LL12501000</v>
      </c>
      <c r="E417" s="907">
        <f t="shared" si="15"/>
        <v>0</v>
      </c>
      <c r="F417" s="534"/>
      <c r="G417" s="535">
        <f>F417*CCBASE!$B$51</f>
        <v>0</v>
      </c>
      <c r="H417" s="535"/>
      <c r="I417" s="535"/>
      <c r="J417" s="535"/>
      <c r="K417" s="535"/>
      <c r="L417" s="534"/>
      <c r="M417" s="535"/>
      <c r="N417" s="535"/>
      <c r="O417" s="535"/>
      <c r="P417" s="535"/>
      <c r="Q417" s="535"/>
      <c r="R417" s="535"/>
      <c r="S417" s="535"/>
      <c r="T417" s="534"/>
      <c r="U417" s="535"/>
      <c r="V417" s="535"/>
      <c r="W417" s="535"/>
      <c r="X417" s="535"/>
      <c r="Y417" s="535"/>
      <c r="Z417" s="535"/>
      <c r="AA417" s="535"/>
      <c r="AB417" s="535"/>
      <c r="AC417" s="535"/>
      <c r="AD417" s="535"/>
      <c r="AI417" s="537"/>
      <c r="AJ417" s="537"/>
      <c r="AK417" s="538"/>
      <c r="AL417" s="538"/>
      <c r="AM417" s="538"/>
      <c r="AN417" s="538"/>
      <c r="AO417" s="538"/>
      <c r="AP417" s="538"/>
      <c r="AQ417" s="538"/>
      <c r="AR417" s="538"/>
      <c r="AS417" s="538"/>
    </row>
    <row r="418" spans="1:45" x14ac:dyDescent="0.2">
      <c r="A418" s="533" t="s">
        <v>1173</v>
      </c>
      <c r="B418" s="533">
        <v>1500</v>
      </c>
      <c r="C418" s="533">
        <v>1000</v>
      </c>
      <c r="D418" s="533" t="str">
        <f t="shared" si="16"/>
        <v>KVI-LL15001000</v>
      </c>
      <c r="E418" s="907">
        <f t="shared" si="15"/>
        <v>0</v>
      </c>
      <c r="F418" s="534"/>
      <c r="G418" s="535">
        <f>F418*CCBASE!$B$51</f>
        <v>0</v>
      </c>
      <c r="H418" s="535"/>
      <c r="I418" s="535"/>
      <c r="J418" s="535"/>
      <c r="K418" s="535"/>
      <c r="L418" s="534"/>
      <c r="M418" s="535"/>
      <c r="N418" s="535"/>
      <c r="O418" s="535"/>
      <c r="P418" s="535"/>
      <c r="Q418" s="535"/>
      <c r="R418" s="535"/>
      <c r="S418" s="535"/>
      <c r="T418" s="534"/>
      <c r="U418" s="535"/>
      <c r="V418" s="535"/>
      <c r="W418" s="535"/>
      <c r="X418" s="535"/>
      <c r="Y418" s="535"/>
      <c r="Z418" s="535"/>
      <c r="AA418" s="535"/>
      <c r="AB418" s="535"/>
      <c r="AC418" s="535"/>
      <c r="AD418" s="535"/>
      <c r="AI418" s="537"/>
      <c r="AJ418" s="537"/>
      <c r="AK418" s="538"/>
      <c r="AL418" s="538"/>
      <c r="AM418" s="538"/>
      <c r="AN418" s="538"/>
      <c r="AO418" s="538"/>
      <c r="AP418" s="538"/>
      <c r="AQ418" s="538"/>
      <c r="AR418" s="538"/>
      <c r="AS418" s="538"/>
    </row>
    <row r="419" spans="1:45" x14ac:dyDescent="0.2">
      <c r="A419" s="533" t="s">
        <v>1173</v>
      </c>
      <c r="B419" s="533">
        <v>1750</v>
      </c>
      <c r="C419" s="533">
        <v>1000</v>
      </c>
      <c r="D419" s="533" t="str">
        <f t="shared" si="16"/>
        <v>KVI-LL17501000</v>
      </c>
      <c r="E419" s="907">
        <f t="shared" si="15"/>
        <v>0</v>
      </c>
      <c r="F419" s="534"/>
      <c r="G419" s="535">
        <f>F419*CCBASE!$B$51</f>
        <v>0</v>
      </c>
      <c r="H419" s="535"/>
      <c r="I419" s="535"/>
      <c r="J419" s="535"/>
      <c r="K419" s="535"/>
      <c r="L419" s="534"/>
      <c r="M419" s="535"/>
      <c r="N419" s="535"/>
      <c r="O419" s="535"/>
      <c r="P419" s="535"/>
      <c r="Q419" s="535"/>
      <c r="R419" s="535"/>
      <c r="S419" s="535"/>
      <c r="T419" s="534"/>
      <c r="U419" s="535"/>
      <c r="V419" s="535"/>
      <c r="W419" s="535"/>
      <c r="X419" s="535"/>
      <c r="Y419" s="535"/>
      <c r="Z419" s="535"/>
      <c r="AA419" s="535"/>
      <c r="AB419" s="535"/>
      <c r="AC419" s="535"/>
      <c r="AD419" s="535"/>
      <c r="AI419" s="537"/>
      <c r="AJ419" s="537"/>
      <c r="AN419" s="538"/>
      <c r="AO419" s="538"/>
      <c r="AP419" s="538"/>
      <c r="AQ419" s="538"/>
      <c r="AR419" s="538"/>
      <c r="AS419" s="538"/>
    </row>
    <row r="420" spans="1:45" x14ac:dyDescent="0.2">
      <c r="A420" s="533" t="s">
        <v>1173</v>
      </c>
      <c r="B420" s="533">
        <v>2000</v>
      </c>
      <c r="C420" s="533">
        <v>1000</v>
      </c>
      <c r="D420" s="533" t="str">
        <f t="shared" si="16"/>
        <v>KVI-LL20001000</v>
      </c>
      <c r="E420" s="907">
        <f t="shared" si="15"/>
        <v>0</v>
      </c>
      <c r="F420" s="534"/>
      <c r="G420" s="535">
        <f>F420*CCBASE!$B$51</f>
        <v>0</v>
      </c>
      <c r="H420" s="535"/>
      <c r="I420" s="535"/>
      <c r="J420" s="535"/>
      <c r="K420" s="535"/>
      <c r="L420" s="534"/>
      <c r="M420" s="535"/>
      <c r="N420" s="535"/>
      <c r="O420" s="535"/>
      <c r="P420" s="535"/>
      <c r="Q420" s="535"/>
      <c r="R420" s="535"/>
      <c r="S420" s="535"/>
      <c r="T420" s="534"/>
      <c r="U420" s="535"/>
      <c r="V420" s="535"/>
      <c r="W420" s="535"/>
      <c r="X420" s="535"/>
      <c r="Y420" s="535"/>
      <c r="Z420" s="535"/>
      <c r="AA420" s="535"/>
      <c r="AB420" s="535"/>
      <c r="AC420" s="535"/>
      <c r="AD420" s="535"/>
      <c r="AI420" s="537"/>
      <c r="AJ420" s="537"/>
      <c r="AN420" s="538"/>
      <c r="AO420" s="538"/>
      <c r="AP420" s="538"/>
      <c r="AQ420" s="538"/>
      <c r="AR420" s="538"/>
      <c r="AS420" s="538"/>
    </row>
    <row r="421" spans="1:45" x14ac:dyDescent="0.2">
      <c r="A421" s="533" t="s">
        <v>1173</v>
      </c>
      <c r="B421" s="533">
        <v>2250</v>
      </c>
      <c r="C421" s="533">
        <v>1000</v>
      </c>
      <c r="D421" s="533" t="str">
        <f t="shared" si="16"/>
        <v>KVI-LL22501000</v>
      </c>
      <c r="E421" s="907">
        <f t="shared" si="15"/>
        <v>0</v>
      </c>
      <c r="F421" s="534"/>
      <c r="G421" s="535">
        <f>F421*CCBASE!$B$51</f>
        <v>0</v>
      </c>
      <c r="H421" s="535"/>
      <c r="I421" s="535"/>
      <c r="J421" s="535"/>
      <c r="K421" s="535"/>
      <c r="L421" s="534"/>
      <c r="M421" s="535"/>
      <c r="N421" s="535"/>
      <c r="O421" s="535"/>
      <c r="P421" s="535"/>
      <c r="Q421" s="535"/>
      <c r="R421" s="535"/>
      <c r="S421" s="535"/>
      <c r="T421" s="534"/>
      <c r="U421" s="535"/>
      <c r="V421" s="535"/>
      <c r="W421" s="535"/>
      <c r="X421" s="535"/>
      <c r="Y421" s="535"/>
      <c r="Z421" s="535"/>
      <c r="AA421" s="535"/>
      <c r="AB421" s="535"/>
      <c r="AC421" s="535"/>
      <c r="AD421" s="535"/>
      <c r="AI421" s="537"/>
      <c r="AJ421" s="537"/>
      <c r="AN421" s="538"/>
      <c r="AO421" s="538"/>
      <c r="AP421" s="538"/>
      <c r="AQ421" s="538"/>
      <c r="AR421" s="538"/>
      <c r="AS421" s="538"/>
    </row>
    <row r="422" spans="1:45" x14ac:dyDescent="0.2">
      <c r="A422" s="533" t="s">
        <v>1173</v>
      </c>
      <c r="B422" s="533">
        <v>2500</v>
      </c>
      <c r="C422" s="533">
        <v>1000</v>
      </c>
      <c r="D422" s="533" t="str">
        <f t="shared" si="16"/>
        <v>KVI-LL25001000</v>
      </c>
      <c r="E422" s="907">
        <f t="shared" si="15"/>
        <v>0</v>
      </c>
      <c r="F422" s="534"/>
      <c r="G422" s="535">
        <f>F422*CCBASE!$B$51</f>
        <v>0</v>
      </c>
      <c r="H422" s="535"/>
      <c r="I422" s="535"/>
      <c r="J422" s="535"/>
      <c r="K422" s="535"/>
      <c r="L422" s="534"/>
      <c r="M422" s="535"/>
      <c r="N422" s="535"/>
      <c r="O422" s="535"/>
      <c r="P422" s="535"/>
      <c r="Q422" s="535"/>
      <c r="R422" s="535"/>
      <c r="S422" s="535"/>
      <c r="T422" s="534"/>
      <c r="U422" s="535"/>
      <c r="V422" s="535"/>
      <c r="W422" s="535"/>
      <c r="X422" s="535"/>
      <c r="Y422" s="535"/>
      <c r="Z422" s="535"/>
      <c r="AA422" s="535"/>
      <c r="AB422" s="535"/>
      <c r="AC422" s="535"/>
      <c r="AD422" s="535"/>
      <c r="AI422" s="537"/>
      <c r="AJ422" s="537"/>
      <c r="AN422" s="538"/>
      <c r="AO422" s="538"/>
      <c r="AP422" s="538"/>
      <c r="AQ422" s="538"/>
      <c r="AR422" s="538"/>
      <c r="AS422" s="538"/>
    </row>
    <row r="423" spans="1:45" x14ac:dyDescent="0.2">
      <c r="A423" s="533" t="s">
        <v>1173</v>
      </c>
      <c r="B423" s="533">
        <v>2750</v>
      </c>
      <c r="C423" s="533">
        <v>1000</v>
      </c>
      <c r="D423" s="533" t="str">
        <f t="shared" si="16"/>
        <v>KVI-LL27501000</v>
      </c>
      <c r="E423" s="907">
        <f t="shared" si="15"/>
        <v>0</v>
      </c>
      <c r="F423" s="534"/>
      <c r="G423" s="535">
        <f>F423*CCBASE!$B$51</f>
        <v>0</v>
      </c>
      <c r="H423" s="535"/>
      <c r="I423" s="535"/>
      <c r="J423" s="535"/>
      <c r="K423" s="535"/>
      <c r="L423" s="534"/>
      <c r="M423" s="535"/>
      <c r="N423" s="535"/>
      <c r="O423" s="535"/>
      <c r="P423" s="535"/>
      <c r="Q423" s="535"/>
      <c r="R423" s="535"/>
      <c r="S423" s="535"/>
      <c r="T423" s="534"/>
      <c r="U423" s="535"/>
      <c r="V423" s="535"/>
      <c r="W423" s="535"/>
      <c r="X423" s="535"/>
      <c r="Y423" s="535"/>
      <c r="Z423" s="535"/>
      <c r="AA423" s="535"/>
      <c r="AB423" s="535"/>
      <c r="AC423" s="535"/>
      <c r="AD423" s="535"/>
      <c r="AI423" s="537"/>
      <c r="AJ423" s="537"/>
      <c r="AN423" s="538"/>
      <c r="AO423" s="538"/>
      <c r="AP423" s="538"/>
      <c r="AQ423" s="538"/>
      <c r="AR423" s="538"/>
      <c r="AS423" s="538"/>
    </row>
    <row r="424" spans="1:45" x14ac:dyDescent="0.2">
      <c r="A424" s="533" t="s">
        <v>1173</v>
      </c>
      <c r="B424" s="533">
        <v>3000</v>
      </c>
      <c r="C424" s="533">
        <v>1000</v>
      </c>
      <c r="D424" s="533" t="str">
        <f t="shared" si="16"/>
        <v>KVI-LL30001000</v>
      </c>
      <c r="E424" s="907">
        <f t="shared" si="15"/>
        <v>0</v>
      </c>
      <c r="F424" s="534"/>
      <c r="G424" s="535">
        <f>F424*CCBASE!$B$51</f>
        <v>0</v>
      </c>
      <c r="H424" s="535"/>
      <c r="I424" s="535"/>
      <c r="J424" s="535"/>
      <c r="K424" s="535"/>
      <c r="L424" s="534"/>
      <c r="M424" s="535"/>
      <c r="N424" s="535"/>
      <c r="O424" s="535"/>
      <c r="P424" s="535"/>
      <c r="Q424" s="535"/>
      <c r="R424" s="535"/>
      <c r="S424" s="535"/>
      <c r="T424" s="534"/>
      <c r="U424" s="535"/>
      <c r="V424" s="535"/>
      <c r="W424" s="535"/>
      <c r="X424" s="535"/>
      <c r="Y424" s="535"/>
      <c r="Z424" s="535"/>
      <c r="AA424" s="535"/>
      <c r="AB424" s="535"/>
      <c r="AC424" s="535"/>
      <c r="AD424" s="535"/>
      <c r="AI424" s="537"/>
      <c r="AJ424" s="537"/>
      <c r="AN424" s="538"/>
      <c r="AO424" s="538"/>
      <c r="AP424" s="538"/>
      <c r="AQ424" s="538"/>
      <c r="AR424" s="538"/>
      <c r="AS424" s="538"/>
    </row>
    <row r="425" spans="1:45" x14ac:dyDescent="0.2">
      <c r="A425" s="533" t="s">
        <v>1177</v>
      </c>
      <c r="B425" s="533">
        <v>1000</v>
      </c>
      <c r="C425" s="533">
        <v>1000</v>
      </c>
      <c r="D425" s="533" t="str">
        <f t="shared" si="16"/>
        <v>UVI-LL10001000</v>
      </c>
      <c r="E425" s="907">
        <f t="shared" si="15"/>
        <v>0</v>
      </c>
      <c r="F425" s="534"/>
      <c r="G425" s="535">
        <f>F425*CCBASE!$B$51</f>
        <v>0</v>
      </c>
      <c r="H425" s="535"/>
      <c r="I425" s="535"/>
      <c r="J425" s="535"/>
      <c r="K425" s="535"/>
      <c r="L425" s="534"/>
      <c r="M425" s="535"/>
      <c r="N425" s="535"/>
      <c r="O425" s="535"/>
      <c r="P425" s="535"/>
      <c r="Q425" s="535"/>
      <c r="R425" s="535"/>
      <c r="S425" s="535"/>
      <c r="T425" s="534"/>
      <c r="U425" s="535"/>
      <c r="V425" s="535"/>
      <c r="W425" s="535"/>
      <c r="X425" s="535"/>
      <c r="Y425" s="535"/>
      <c r="Z425" s="535"/>
      <c r="AA425" s="535"/>
      <c r="AB425" s="535"/>
      <c r="AC425" s="535"/>
      <c r="AD425" s="535"/>
      <c r="AI425" s="537"/>
      <c r="AJ425" s="537"/>
      <c r="AK425" s="538"/>
      <c r="AL425" s="538"/>
      <c r="AM425" s="538"/>
      <c r="AN425" s="538"/>
      <c r="AO425" s="538"/>
      <c r="AP425" s="538"/>
      <c r="AQ425" s="538"/>
      <c r="AR425" s="538"/>
      <c r="AS425" s="538"/>
    </row>
    <row r="426" spans="1:45" x14ac:dyDescent="0.2">
      <c r="A426" s="533" t="s">
        <v>1177</v>
      </c>
      <c r="B426" s="533">
        <v>1250</v>
      </c>
      <c r="C426" s="533">
        <v>1000</v>
      </c>
      <c r="D426" s="533" t="str">
        <f t="shared" si="16"/>
        <v>UVI-LL12501000</v>
      </c>
      <c r="E426" s="907">
        <f t="shared" si="15"/>
        <v>0</v>
      </c>
      <c r="F426" s="534"/>
      <c r="G426" s="535">
        <f>F426*CCBASE!$B$51</f>
        <v>0</v>
      </c>
      <c r="H426" s="535"/>
      <c r="I426" s="535"/>
      <c r="J426" s="535"/>
      <c r="K426" s="535"/>
      <c r="L426" s="534"/>
      <c r="M426" s="535"/>
      <c r="N426" s="535"/>
      <c r="O426" s="535"/>
      <c r="P426" s="535"/>
      <c r="Q426" s="535"/>
      <c r="R426" s="535"/>
      <c r="S426" s="535"/>
      <c r="T426" s="534"/>
      <c r="U426" s="535"/>
      <c r="V426" s="535"/>
      <c r="W426" s="535"/>
      <c r="X426" s="535"/>
      <c r="Y426" s="535"/>
      <c r="Z426" s="535"/>
      <c r="AA426" s="535"/>
      <c r="AB426" s="535"/>
      <c r="AC426" s="535"/>
      <c r="AD426" s="535"/>
      <c r="AI426" s="537"/>
      <c r="AJ426" s="537"/>
      <c r="AK426" s="538"/>
      <c r="AL426" s="538"/>
      <c r="AM426" s="538"/>
      <c r="AN426" s="538"/>
      <c r="AO426" s="538"/>
      <c r="AP426" s="538"/>
      <c r="AQ426" s="538"/>
      <c r="AR426" s="538"/>
      <c r="AS426" s="538"/>
    </row>
    <row r="427" spans="1:45" x14ac:dyDescent="0.2">
      <c r="A427" s="533" t="s">
        <v>1177</v>
      </c>
      <c r="B427" s="533">
        <v>1500</v>
      </c>
      <c r="C427" s="533">
        <v>1000</v>
      </c>
      <c r="D427" s="533" t="str">
        <f t="shared" si="16"/>
        <v>UVI-LL15001000</v>
      </c>
      <c r="E427" s="907">
        <f t="shared" si="15"/>
        <v>0</v>
      </c>
      <c r="F427" s="534"/>
      <c r="G427" s="535">
        <f>F427*CCBASE!$B$51</f>
        <v>0</v>
      </c>
      <c r="H427" s="535"/>
      <c r="I427" s="535"/>
      <c r="J427" s="535"/>
      <c r="K427" s="535"/>
      <c r="L427" s="534"/>
      <c r="M427" s="535"/>
      <c r="N427" s="535"/>
      <c r="O427" s="535"/>
      <c r="P427" s="535"/>
      <c r="Q427" s="535"/>
      <c r="R427" s="535"/>
      <c r="S427" s="535"/>
      <c r="T427" s="534"/>
      <c r="U427" s="535"/>
      <c r="V427" s="535"/>
      <c r="W427" s="535"/>
      <c r="X427" s="535"/>
      <c r="Y427" s="535"/>
      <c r="Z427" s="535"/>
      <c r="AA427" s="535"/>
      <c r="AB427" s="535"/>
      <c r="AC427" s="535"/>
      <c r="AD427" s="535"/>
      <c r="AI427" s="537"/>
      <c r="AJ427" s="537"/>
      <c r="AK427" s="538"/>
      <c r="AL427" s="538"/>
      <c r="AM427" s="538"/>
      <c r="AN427" s="538"/>
      <c r="AO427" s="538"/>
      <c r="AP427" s="538"/>
      <c r="AQ427" s="538"/>
      <c r="AR427" s="538"/>
      <c r="AS427" s="538"/>
    </row>
    <row r="428" spans="1:45" x14ac:dyDescent="0.2">
      <c r="A428" s="533" t="s">
        <v>1177</v>
      </c>
      <c r="B428" s="533">
        <v>1750</v>
      </c>
      <c r="C428" s="533">
        <v>1000</v>
      </c>
      <c r="D428" s="533" t="str">
        <f t="shared" si="16"/>
        <v>UVI-LL17501000</v>
      </c>
      <c r="E428" s="907">
        <f t="shared" si="15"/>
        <v>0</v>
      </c>
      <c r="F428" s="534"/>
      <c r="G428" s="535">
        <f>F428*CCBASE!$B$51</f>
        <v>0</v>
      </c>
      <c r="H428" s="535"/>
      <c r="I428" s="535"/>
      <c r="J428" s="535"/>
      <c r="K428" s="535"/>
      <c r="L428" s="534"/>
      <c r="M428" s="535"/>
      <c r="N428" s="535"/>
      <c r="O428" s="535"/>
      <c r="P428" s="535"/>
      <c r="Q428" s="535"/>
      <c r="R428" s="535"/>
      <c r="S428" s="535"/>
      <c r="T428" s="534"/>
      <c r="U428" s="535"/>
      <c r="V428" s="535"/>
      <c r="W428" s="535"/>
      <c r="X428" s="535"/>
      <c r="Y428" s="535"/>
      <c r="Z428" s="535"/>
      <c r="AA428" s="535"/>
      <c r="AB428" s="535"/>
      <c r="AC428" s="535"/>
      <c r="AD428" s="535"/>
      <c r="AI428" s="537"/>
      <c r="AJ428" s="537"/>
      <c r="AN428" s="538"/>
      <c r="AO428" s="538"/>
      <c r="AP428" s="538"/>
      <c r="AQ428" s="538"/>
      <c r="AR428" s="538"/>
      <c r="AS428" s="538"/>
    </row>
    <row r="429" spans="1:45" x14ac:dyDescent="0.2">
      <c r="A429" s="533" t="s">
        <v>1177</v>
      </c>
      <c r="B429" s="533">
        <v>2000</v>
      </c>
      <c r="C429" s="533">
        <v>1000</v>
      </c>
      <c r="D429" s="533" t="str">
        <f t="shared" si="16"/>
        <v>UVI-LL20001000</v>
      </c>
      <c r="E429" s="907">
        <f t="shared" si="15"/>
        <v>0</v>
      </c>
      <c r="F429" s="534"/>
      <c r="G429" s="535">
        <f>F429*CCBASE!$B$51</f>
        <v>0</v>
      </c>
      <c r="H429" s="535"/>
      <c r="I429" s="535"/>
      <c r="J429" s="535"/>
      <c r="K429" s="535"/>
      <c r="L429" s="534"/>
      <c r="M429" s="535"/>
      <c r="N429" s="535"/>
      <c r="O429" s="535"/>
      <c r="P429" s="535"/>
      <c r="Q429" s="535"/>
      <c r="R429" s="535"/>
      <c r="S429" s="535"/>
      <c r="T429" s="534"/>
      <c r="U429" s="535"/>
      <c r="V429" s="535"/>
      <c r="W429" s="535"/>
      <c r="X429" s="535"/>
      <c r="Y429" s="535"/>
      <c r="Z429" s="535"/>
      <c r="AA429" s="535"/>
      <c r="AB429" s="535"/>
      <c r="AC429" s="535"/>
      <c r="AD429" s="535"/>
      <c r="AI429" s="537"/>
      <c r="AJ429" s="537"/>
      <c r="AN429" s="538"/>
      <c r="AO429" s="538"/>
      <c r="AP429" s="538"/>
      <c r="AQ429" s="538"/>
      <c r="AR429" s="538"/>
      <c r="AS429" s="538"/>
    </row>
    <row r="430" spans="1:45" x14ac:dyDescent="0.2">
      <c r="A430" s="533" t="s">
        <v>1177</v>
      </c>
      <c r="B430" s="533">
        <v>2250</v>
      </c>
      <c r="C430" s="533">
        <v>1000</v>
      </c>
      <c r="D430" s="533" t="str">
        <f t="shared" si="16"/>
        <v>UVI-LL22501000</v>
      </c>
      <c r="E430" s="907">
        <f t="shared" si="15"/>
        <v>0</v>
      </c>
      <c r="F430" s="534"/>
      <c r="G430" s="535">
        <f>F430*CCBASE!$B$51</f>
        <v>0</v>
      </c>
      <c r="H430" s="535"/>
      <c r="I430" s="535"/>
      <c r="J430" s="535"/>
      <c r="K430" s="535"/>
      <c r="L430" s="534"/>
      <c r="M430" s="535"/>
      <c r="N430" s="535"/>
      <c r="O430" s="535"/>
      <c r="P430" s="535"/>
      <c r="Q430" s="535"/>
      <c r="R430" s="535"/>
      <c r="S430" s="535"/>
      <c r="T430" s="534"/>
      <c r="U430" s="535"/>
      <c r="V430" s="535"/>
      <c r="W430" s="535"/>
      <c r="X430" s="535"/>
      <c r="Y430" s="535"/>
      <c r="Z430" s="535"/>
      <c r="AA430" s="535"/>
      <c r="AB430" s="535"/>
      <c r="AC430" s="535"/>
      <c r="AD430" s="535"/>
      <c r="AI430" s="537"/>
      <c r="AJ430" s="537"/>
      <c r="AN430" s="538"/>
      <c r="AO430" s="538"/>
      <c r="AP430" s="538"/>
      <c r="AQ430" s="538"/>
      <c r="AR430" s="538"/>
      <c r="AS430" s="538"/>
    </row>
    <row r="431" spans="1:45" x14ac:dyDescent="0.2">
      <c r="A431" s="533" t="s">
        <v>1177</v>
      </c>
      <c r="B431" s="533">
        <v>2500</v>
      </c>
      <c r="C431" s="533">
        <v>1000</v>
      </c>
      <c r="D431" s="533" t="str">
        <f t="shared" si="16"/>
        <v>UVI-LL25001000</v>
      </c>
      <c r="E431" s="907">
        <f t="shared" si="15"/>
        <v>0</v>
      </c>
      <c r="F431" s="534"/>
      <c r="G431" s="535">
        <f>F431*CCBASE!$B$51</f>
        <v>0</v>
      </c>
      <c r="H431" s="535"/>
      <c r="I431" s="535"/>
      <c r="J431" s="535"/>
      <c r="K431" s="535"/>
      <c r="L431" s="534"/>
      <c r="M431" s="535"/>
      <c r="N431" s="535"/>
      <c r="O431" s="535"/>
      <c r="P431" s="535"/>
      <c r="Q431" s="535"/>
      <c r="R431" s="535"/>
      <c r="S431" s="535"/>
      <c r="T431" s="534"/>
      <c r="U431" s="535"/>
      <c r="V431" s="535"/>
      <c r="W431" s="535"/>
      <c r="X431" s="535"/>
      <c r="Y431" s="535"/>
      <c r="Z431" s="535"/>
      <c r="AA431" s="535"/>
      <c r="AB431" s="535"/>
      <c r="AC431" s="535"/>
      <c r="AD431" s="535"/>
      <c r="AI431" s="537"/>
      <c r="AJ431" s="537"/>
      <c r="AN431" s="538"/>
      <c r="AO431" s="538"/>
      <c r="AP431" s="538"/>
      <c r="AQ431" s="538"/>
      <c r="AR431" s="538"/>
      <c r="AS431" s="538"/>
    </row>
    <row r="432" spans="1:45" x14ac:dyDescent="0.2">
      <c r="A432" s="533" t="s">
        <v>1177</v>
      </c>
      <c r="B432" s="533">
        <v>2750</v>
      </c>
      <c r="C432" s="533">
        <v>1000</v>
      </c>
      <c r="D432" s="533" t="str">
        <f t="shared" si="16"/>
        <v>UVI-LL27501000</v>
      </c>
      <c r="E432" s="907">
        <f t="shared" si="15"/>
        <v>0</v>
      </c>
      <c r="F432" s="534"/>
      <c r="G432" s="535">
        <f>F432*CCBASE!$B$51</f>
        <v>0</v>
      </c>
      <c r="H432" s="535"/>
      <c r="I432" s="535"/>
      <c r="J432" s="535"/>
      <c r="K432" s="535"/>
      <c r="L432" s="534"/>
      <c r="M432" s="535"/>
      <c r="N432" s="535"/>
      <c r="O432" s="535"/>
      <c r="P432" s="535"/>
      <c r="Q432" s="535"/>
      <c r="R432" s="535"/>
      <c r="S432" s="535"/>
      <c r="T432" s="534"/>
      <c r="U432" s="535"/>
      <c r="V432" s="535"/>
      <c r="W432" s="535"/>
      <c r="X432" s="535"/>
      <c r="Y432" s="535"/>
      <c r="Z432" s="535"/>
      <c r="AA432" s="535"/>
      <c r="AB432" s="535"/>
      <c r="AC432" s="535"/>
      <c r="AD432" s="535"/>
      <c r="AI432" s="537"/>
      <c r="AJ432" s="537"/>
      <c r="AN432" s="538"/>
      <c r="AO432" s="538"/>
      <c r="AP432" s="538"/>
      <c r="AQ432" s="538"/>
      <c r="AR432" s="538"/>
      <c r="AS432" s="538"/>
    </row>
    <row r="433" spans="1:45" x14ac:dyDescent="0.2">
      <c r="A433" s="533" t="s">
        <v>1177</v>
      </c>
      <c r="B433" s="533">
        <v>3000</v>
      </c>
      <c r="C433" s="533">
        <v>1000</v>
      </c>
      <c r="D433" s="533" t="str">
        <f t="shared" si="16"/>
        <v>UVI-LL30001000</v>
      </c>
      <c r="E433" s="907">
        <f t="shared" si="15"/>
        <v>0</v>
      </c>
      <c r="F433" s="534"/>
      <c r="G433" s="535">
        <f>F433*CCBASE!$B$51</f>
        <v>0</v>
      </c>
      <c r="H433" s="535"/>
      <c r="I433" s="535"/>
      <c r="J433" s="535"/>
      <c r="K433" s="535"/>
      <c r="L433" s="534"/>
      <c r="M433" s="535"/>
      <c r="N433" s="535"/>
      <c r="O433" s="535"/>
      <c r="P433" s="535"/>
      <c r="Q433" s="535"/>
      <c r="R433" s="535"/>
      <c r="S433" s="535"/>
      <c r="T433" s="534"/>
      <c r="U433" s="535"/>
      <c r="V433" s="535"/>
      <c r="W433" s="535"/>
      <c r="X433" s="535"/>
      <c r="Y433" s="535"/>
      <c r="Z433" s="535"/>
      <c r="AA433" s="535"/>
      <c r="AB433" s="535"/>
      <c r="AC433" s="535"/>
      <c r="AD433" s="535"/>
      <c r="AI433" s="537"/>
      <c r="AJ433" s="537"/>
      <c r="AN433" s="538"/>
      <c r="AO433" s="538"/>
      <c r="AP433" s="538"/>
      <c r="AQ433" s="538"/>
      <c r="AR433" s="538"/>
      <c r="AS433" s="538"/>
    </row>
    <row r="434" spans="1:45" x14ac:dyDescent="0.2">
      <c r="A434" s="533" t="s">
        <v>1108</v>
      </c>
      <c r="B434" s="533">
        <v>1000</v>
      </c>
      <c r="C434" s="533">
        <v>1000</v>
      </c>
      <c r="D434" s="542" t="str">
        <f t="shared" si="16"/>
        <v>CXW10001000</v>
      </c>
      <c r="E434" s="907">
        <f t="shared" si="15"/>
        <v>470.83687000000003</v>
      </c>
      <c r="F434" s="534">
        <v>7</v>
      </c>
      <c r="G434" s="535">
        <f>F434*CCBASE!$B$51</f>
        <v>252</v>
      </c>
      <c r="H434" s="535"/>
      <c r="I434" s="535"/>
      <c r="J434" s="535"/>
      <c r="K434" s="535">
        <f>CCBASE!$I$21*B434/1000</f>
        <v>218.83687000000003</v>
      </c>
      <c r="L434" s="535"/>
      <c r="M434" s="535"/>
      <c r="N434" s="535"/>
      <c r="O434" s="535"/>
      <c r="P434" s="534"/>
      <c r="Q434" s="534"/>
      <c r="R434" s="534"/>
      <c r="S434" s="534"/>
      <c r="T434" s="534"/>
      <c r="U434" s="535"/>
      <c r="V434" s="534"/>
      <c r="W434" s="534"/>
      <c r="X434" s="534"/>
      <c r="Y434" s="534"/>
      <c r="Z434" s="534"/>
      <c r="AA434" s="534"/>
      <c r="AB434" s="534"/>
      <c r="AC434" s="534"/>
      <c r="AD434" s="534"/>
    </row>
    <row r="435" spans="1:45" x14ac:dyDescent="0.2">
      <c r="A435" s="533" t="s">
        <v>1108</v>
      </c>
      <c r="B435" s="533">
        <v>1250</v>
      </c>
      <c r="C435" s="533">
        <v>1000</v>
      </c>
      <c r="D435" s="542" t="str">
        <f t="shared" si="16"/>
        <v>CXW12501000</v>
      </c>
      <c r="E435" s="907">
        <f t="shared" si="15"/>
        <v>525.5460875</v>
      </c>
      <c r="F435" s="534">
        <v>7</v>
      </c>
      <c r="G435" s="535">
        <f>F435*CCBASE!$B$51</f>
        <v>252</v>
      </c>
      <c r="H435" s="535"/>
      <c r="I435" s="535"/>
      <c r="J435" s="535"/>
      <c r="K435" s="535">
        <f>CCBASE!$I$21*B435/1000</f>
        <v>273.5460875</v>
      </c>
      <c r="L435" s="535"/>
      <c r="M435" s="535"/>
      <c r="N435" s="535"/>
      <c r="O435" s="535"/>
      <c r="P435" s="534"/>
      <c r="Q435" s="534"/>
      <c r="R435" s="534"/>
      <c r="S435" s="534"/>
      <c r="T435" s="534"/>
      <c r="U435" s="535"/>
      <c r="V435" s="534"/>
      <c r="W435" s="534"/>
      <c r="X435" s="534"/>
      <c r="Y435" s="534"/>
      <c r="Z435" s="534"/>
      <c r="AA435" s="534"/>
      <c r="AB435" s="534"/>
      <c r="AC435" s="534"/>
      <c r="AD435" s="534"/>
    </row>
    <row r="436" spans="1:45" x14ac:dyDescent="0.2">
      <c r="A436" s="533" t="s">
        <v>1108</v>
      </c>
      <c r="B436" s="533">
        <v>1500</v>
      </c>
      <c r="C436" s="533">
        <v>1000</v>
      </c>
      <c r="D436" s="542" t="str">
        <f t="shared" si="16"/>
        <v>CXW15001000</v>
      </c>
      <c r="E436" s="907">
        <f t="shared" si="15"/>
        <v>580.25530500000013</v>
      </c>
      <c r="F436" s="534">
        <v>7</v>
      </c>
      <c r="G436" s="535">
        <f>F436*CCBASE!$B$51</f>
        <v>252</v>
      </c>
      <c r="H436" s="535"/>
      <c r="I436" s="535"/>
      <c r="J436" s="535"/>
      <c r="K436" s="535">
        <f>CCBASE!$I$21*B436/1000</f>
        <v>328.25530500000008</v>
      </c>
      <c r="L436" s="535"/>
      <c r="M436" s="535"/>
      <c r="N436" s="535"/>
      <c r="O436" s="535"/>
      <c r="P436" s="534"/>
      <c r="Q436" s="534"/>
      <c r="R436" s="534"/>
      <c r="S436" s="534"/>
      <c r="T436" s="534"/>
      <c r="U436" s="535"/>
      <c r="V436" s="534"/>
      <c r="W436" s="534"/>
      <c r="X436" s="534"/>
      <c r="Y436" s="534"/>
      <c r="Z436" s="534"/>
      <c r="AA436" s="534"/>
      <c r="AB436" s="534"/>
      <c r="AC436" s="534"/>
      <c r="AD436" s="534"/>
    </row>
    <row r="437" spans="1:45" x14ac:dyDescent="0.2">
      <c r="A437" s="533" t="s">
        <v>1108</v>
      </c>
      <c r="B437" s="533">
        <v>1750</v>
      </c>
      <c r="C437" s="533">
        <v>1000</v>
      </c>
      <c r="D437" s="542" t="str">
        <f t="shared" si="16"/>
        <v>CXW17501000</v>
      </c>
      <c r="E437" s="907">
        <f t="shared" si="15"/>
        <v>670.96452250000016</v>
      </c>
      <c r="F437" s="534">
        <v>8</v>
      </c>
      <c r="G437" s="535">
        <f>F437*CCBASE!$B$51</f>
        <v>288</v>
      </c>
      <c r="H437" s="535"/>
      <c r="I437" s="535"/>
      <c r="J437" s="535"/>
      <c r="K437" s="535">
        <f>CCBASE!$I$21*B437/1000</f>
        <v>382.9645225000001</v>
      </c>
      <c r="L437" s="535"/>
      <c r="M437" s="535"/>
      <c r="N437" s="535"/>
      <c r="O437" s="535"/>
      <c r="P437" s="534"/>
      <c r="Q437" s="534"/>
      <c r="R437" s="534"/>
      <c r="S437" s="534"/>
      <c r="T437" s="534"/>
      <c r="U437" s="535"/>
      <c r="V437" s="534"/>
      <c r="W437" s="534"/>
      <c r="X437" s="534"/>
      <c r="Y437" s="534"/>
      <c r="Z437" s="534"/>
      <c r="AA437" s="534"/>
      <c r="AB437" s="534"/>
      <c r="AC437" s="534"/>
      <c r="AD437" s="534"/>
    </row>
    <row r="438" spans="1:45" x14ac:dyDescent="0.2">
      <c r="A438" s="533" t="s">
        <v>1108</v>
      </c>
      <c r="B438" s="533">
        <v>2000</v>
      </c>
      <c r="C438" s="533">
        <v>1000</v>
      </c>
      <c r="D438" s="542" t="str">
        <f t="shared" si="16"/>
        <v>CXW20001000</v>
      </c>
      <c r="E438" s="907">
        <f t="shared" si="15"/>
        <v>725.67374000000007</v>
      </c>
      <c r="F438" s="534">
        <v>8</v>
      </c>
      <c r="G438" s="535">
        <f>F438*CCBASE!$B$51</f>
        <v>288</v>
      </c>
      <c r="H438" s="535"/>
      <c r="I438" s="535"/>
      <c r="J438" s="535"/>
      <c r="K438" s="535">
        <f>CCBASE!$I$21*B438/1000</f>
        <v>437.67374000000007</v>
      </c>
      <c r="L438" s="535"/>
      <c r="M438" s="535"/>
      <c r="N438" s="535"/>
      <c r="O438" s="535"/>
      <c r="P438" s="534"/>
      <c r="Q438" s="534"/>
      <c r="R438" s="534"/>
      <c r="S438" s="534"/>
      <c r="T438" s="534"/>
      <c r="U438" s="535"/>
      <c r="V438" s="534"/>
      <c r="W438" s="534"/>
      <c r="X438" s="534"/>
      <c r="Y438" s="534"/>
      <c r="Z438" s="534"/>
      <c r="AA438" s="534"/>
      <c r="AB438" s="534"/>
      <c r="AC438" s="534"/>
      <c r="AD438" s="534"/>
    </row>
    <row r="439" spans="1:45" x14ac:dyDescent="0.2">
      <c r="A439" s="533" t="s">
        <v>1108</v>
      </c>
      <c r="B439" s="533">
        <v>2250</v>
      </c>
      <c r="C439" s="533">
        <v>1000</v>
      </c>
      <c r="D439" s="542" t="str">
        <f t="shared" si="16"/>
        <v>CXW22501000</v>
      </c>
      <c r="E439" s="907">
        <f t="shared" si="15"/>
        <v>780.38295750000009</v>
      </c>
      <c r="F439" s="534">
        <v>8</v>
      </c>
      <c r="G439" s="535">
        <f>F439*CCBASE!$B$51</f>
        <v>288</v>
      </c>
      <c r="H439" s="535"/>
      <c r="I439" s="535"/>
      <c r="J439" s="535"/>
      <c r="K439" s="535">
        <f>CCBASE!$I$21*B439/1000</f>
        <v>492.38295750000009</v>
      </c>
      <c r="L439" s="535"/>
      <c r="M439" s="535"/>
      <c r="N439" s="535"/>
      <c r="O439" s="535"/>
      <c r="P439" s="534"/>
      <c r="Q439" s="534"/>
      <c r="R439" s="534"/>
      <c r="S439" s="534"/>
      <c r="T439" s="534"/>
      <c r="U439" s="535"/>
      <c r="V439" s="534"/>
      <c r="W439" s="534"/>
      <c r="X439" s="534"/>
      <c r="Y439" s="534"/>
      <c r="Z439" s="534"/>
      <c r="AA439" s="534"/>
      <c r="AB439" s="534"/>
      <c r="AC439" s="534"/>
      <c r="AD439" s="534"/>
    </row>
    <row r="440" spans="1:45" x14ac:dyDescent="0.2">
      <c r="A440" s="533" t="s">
        <v>1108</v>
      </c>
      <c r="B440" s="533">
        <v>2500</v>
      </c>
      <c r="C440" s="533">
        <v>1000</v>
      </c>
      <c r="D440" s="542" t="str">
        <f t="shared" si="16"/>
        <v>CXW25001000</v>
      </c>
      <c r="E440" s="907">
        <f t="shared" si="15"/>
        <v>835.092175</v>
      </c>
      <c r="F440" s="534">
        <v>8</v>
      </c>
      <c r="G440" s="535">
        <f>F440*CCBASE!$B$51</f>
        <v>288</v>
      </c>
      <c r="H440" s="535"/>
      <c r="I440" s="535"/>
      <c r="J440" s="535"/>
      <c r="K440" s="535">
        <f>CCBASE!$I$21*B440/1000</f>
        <v>547.092175</v>
      </c>
      <c r="L440" s="535"/>
      <c r="M440" s="535"/>
      <c r="N440" s="535"/>
      <c r="O440" s="535"/>
      <c r="P440" s="534"/>
      <c r="Q440" s="534"/>
      <c r="R440" s="534"/>
      <c r="S440" s="534"/>
      <c r="T440" s="534"/>
      <c r="U440" s="535"/>
      <c r="V440" s="534"/>
      <c r="W440" s="534"/>
      <c r="X440" s="534"/>
      <c r="Y440" s="534"/>
      <c r="Z440" s="534"/>
      <c r="AA440" s="534"/>
      <c r="AB440" s="534"/>
      <c r="AC440" s="534"/>
      <c r="AD440" s="534"/>
    </row>
    <row r="441" spans="1:45" x14ac:dyDescent="0.2">
      <c r="A441" s="533" t="s">
        <v>1108</v>
      </c>
      <c r="B441" s="533">
        <v>2750</v>
      </c>
      <c r="C441" s="533">
        <v>1000</v>
      </c>
      <c r="D441" s="542" t="str">
        <f t="shared" si="16"/>
        <v>CXW27501000</v>
      </c>
      <c r="E441" s="907">
        <f t="shared" si="15"/>
        <v>889.80139250000002</v>
      </c>
      <c r="F441" s="534">
        <v>8</v>
      </c>
      <c r="G441" s="535">
        <f>F441*CCBASE!$B$51</f>
        <v>288</v>
      </c>
      <c r="H441" s="535"/>
      <c r="I441" s="535"/>
      <c r="J441" s="535"/>
      <c r="K441" s="535">
        <f>CCBASE!$I$21*B441/1000</f>
        <v>601.80139250000002</v>
      </c>
      <c r="L441" s="535"/>
      <c r="M441" s="535"/>
      <c r="N441" s="535"/>
      <c r="O441" s="535"/>
      <c r="P441" s="534"/>
      <c r="Q441" s="534"/>
      <c r="R441" s="534"/>
      <c r="S441" s="534"/>
      <c r="T441" s="534"/>
      <c r="U441" s="535"/>
      <c r="V441" s="534"/>
      <c r="W441" s="534"/>
      <c r="X441" s="534"/>
      <c r="Y441" s="534"/>
      <c r="Z441" s="534"/>
      <c r="AA441" s="534"/>
      <c r="AB441" s="534"/>
      <c r="AC441" s="534"/>
      <c r="AD441" s="534"/>
    </row>
    <row r="442" spans="1:45" x14ac:dyDescent="0.2">
      <c r="A442" s="533" t="s">
        <v>1108</v>
      </c>
      <c r="B442" s="533">
        <v>3000</v>
      </c>
      <c r="C442" s="533">
        <v>1000</v>
      </c>
      <c r="D442" s="542" t="str">
        <f t="shared" si="16"/>
        <v>CXW30001000</v>
      </c>
      <c r="E442" s="907">
        <f t="shared" si="15"/>
        <v>944.51061000000016</v>
      </c>
      <c r="F442" s="534">
        <v>8</v>
      </c>
      <c r="G442" s="535">
        <f>F442*CCBASE!$B$51</f>
        <v>288</v>
      </c>
      <c r="H442" s="535"/>
      <c r="I442" s="535"/>
      <c r="J442" s="535"/>
      <c r="K442" s="535">
        <f>CCBASE!$I$21*B442/1000</f>
        <v>656.51061000000016</v>
      </c>
      <c r="L442" s="535"/>
      <c r="M442" s="535"/>
      <c r="N442" s="535"/>
      <c r="O442" s="535"/>
      <c r="P442" s="534"/>
      <c r="Q442" s="534"/>
      <c r="R442" s="534"/>
      <c r="S442" s="534"/>
      <c r="T442" s="534"/>
      <c r="U442" s="535"/>
      <c r="V442" s="534"/>
      <c r="W442" s="534"/>
      <c r="X442" s="534"/>
      <c r="Y442" s="534"/>
      <c r="Z442" s="534"/>
      <c r="AA442" s="534"/>
      <c r="AB442" s="534"/>
      <c r="AC442" s="534"/>
      <c r="AD442" s="534"/>
    </row>
    <row r="443" spans="1:45" x14ac:dyDescent="0.2">
      <c r="A443" s="533" t="s">
        <v>1108</v>
      </c>
      <c r="B443" s="533">
        <v>1000</v>
      </c>
      <c r="C443" s="533">
        <v>1250</v>
      </c>
      <c r="D443" s="542" t="str">
        <f t="shared" si="16"/>
        <v>CXW10001250</v>
      </c>
      <c r="E443" s="907">
        <f t="shared" si="15"/>
        <v>500.40942000000001</v>
      </c>
      <c r="F443" s="534">
        <v>7</v>
      </c>
      <c r="G443" s="535">
        <f>F443*CCBASE!$B$51</f>
        <v>252</v>
      </c>
      <c r="H443" s="535"/>
      <c r="I443" s="535"/>
      <c r="J443" s="535"/>
      <c r="K443" s="535">
        <f>CCBASE!$I$22*B443/1000</f>
        <v>248.40942000000001</v>
      </c>
      <c r="L443" s="535"/>
      <c r="M443" s="535"/>
      <c r="N443" s="535"/>
      <c r="O443" s="535"/>
      <c r="P443" s="534"/>
      <c r="Q443" s="534"/>
      <c r="R443" s="534"/>
      <c r="S443" s="534"/>
      <c r="T443" s="534"/>
      <c r="U443" s="535"/>
      <c r="V443" s="534"/>
      <c r="W443" s="534"/>
      <c r="X443" s="534"/>
      <c r="Y443" s="534"/>
      <c r="Z443" s="534"/>
      <c r="AA443" s="534"/>
      <c r="AB443" s="534"/>
      <c r="AC443" s="534"/>
      <c r="AD443" s="534"/>
    </row>
    <row r="444" spans="1:45" x14ac:dyDescent="0.2">
      <c r="A444" s="533" t="s">
        <v>1108</v>
      </c>
      <c r="B444" s="533">
        <v>1250</v>
      </c>
      <c r="C444" s="533">
        <v>1250</v>
      </c>
      <c r="D444" s="542" t="str">
        <f t="shared" si="16"/>
        <v>CXW12501250</v>
      </c>
      <c r="E444" s="907">
        <f t="shared" si="15"/>
        <v>562.51177499999994</v>
      </c>
      <c r="F444" s="534">
        <v>7</v>
      </c>
      <c r="G444" s="535">
        <f>F444*CCBASE!$B$51</f>
        <v>252</v>
      </c>
      <c r="H444" s="535"/>
      <c r="I444" s="535"/>
      <c r="J444" s="535"/>
      <c r="K444" s="535">
        <f>CCBASE!$I$22*B444/1000</f>
        <v>310.511775</v>
      </c>
      <c r="L444" s="535"/>
      <c r="M444" s="535"/>
      <c r="N444" s="535"/>
      <c r="O444" s="535"/>
      <c r="P444" s="534"/>
      <c r="Q444" s="534"/>
      <c r="R444" s="534"/>
      <c r="S444" s="534"/>
      <c r="T444" s="534"/>
      <c r="U444" s="535"/>
      <c r="V444" s="534"/>
      <c r="W444" s="534"/>
      <c r="X444" s="534"/>
      <c r="Y444" s="534"/>
      <c r="Z444" s="534"/>
      <c r="AA444" s="534"/>
      <c r="AB444" s="534"/>
      <c r="AC444" s="534"/>
      <c r="AD444" s="534"/>
    </row>
    <row r="445" spans="1:45" x14ac:dyDescent="0.2">
      <c r="A445" s="533" t="s">
        <v>1108</v>
      </c>
      <c r="B445" s="533">
        <v>1500</v>
      </c>
      <c r="C445" s="533">
        <v>1250</v>
      </c>
      <c r="D445" s="542" t="str">
        <f t="shared" si="16"/>
        <v>CXW15001250</v>
      </c>
      <c r="E445" s="907">
        <f t="shared" si="15"/>
        <v>624.61412999999993</v>
      </c>
      <c r="F445" s="534">
        <v>7</v>
      </c>
      <c r="G445" s="535">
        <f>F445*CCBASE!$B$51</f>
        <v>252</v>
      </c>
      <c r="H445" s="535"/>
      <c r="I445" s="535"/>
      <c r="J445" s="535"/>
      <c r="K445" s="535">
        <f>CCBASE!$I$22*B445/1000</f>
        <v>372.61412999999999</v>
      </c>
      <c r="L445" s="535"/>
      <c r="M445" s="535"/>
      <c r="N445" s="535"/>
      <c r="O445" s="535"/>
      <c r="P445" s="534"/>
      <c r="Q445" s="534"/>
      <c r="R445" s="534"/>
      <c r="S445" s="534"/>
      <c r="T445" s="534"/>
      <c r="U445" s="535"/>
      <c r="V445" s="534"/>
      <c r="W445" s="534"/>
      <c r="X445" s="534"/>
      <c r="Y445" s="534"/>
      <c r="Z445" s="534"/>
      <c r="AA445" s="534"/>
      <c r="AB445" s="534"/>
      <c r="AC445" s="534"/>
      <c r="AD445" s="534"/>
    </row>
    <row r="446" spans="1:45" x14ac:dyDescent="0.2">
      <c r="A446" s="533" t="s">
        <v>1108</v>
      </c>
      <c r="B446" s="533">
        <v>1750</v>
      </c>
      <c r="C446" s="533">
        <v>1250</v>
      </c>
      <c r="D446" s="542" t="str">
        <f t="shared" si="16"/>
        <v>CXW17501250</v>
      </c>
      <c r="E446" s="907">
        <f t="shared" si="15"/>
        <v>722.71648500000003</v>
      </c>
      <c r="F446" s="534">
        <v>8</v>
      </c>
      <c r="G446" s="535">
        <f>F446*CCBASE!$B$51</f>
        <v>288</v>
      </c>
      <c r="H446" s="535"/>
      <c r="I446" s="535"/>
      <c r="J446" s="535"/>
      <c r="K446" s="535">
        <f>CCBASE!$I$22*B446/1000</f>
        <v>434.71648500000003</v>
      </c>
      <c r="L446" s="535"/>
      <c r="M446" s="535"/>
      <c r="N446" s="535"/>
      <c r="O446" s="535"/>
      <c r="P446" s="534"/>
      <c r="Q446" s="534"/>
      <c r="R446" s="534"/>
      <c r="S446" s="534"/>
      <c r="T446" s="534"/>
      <c r="U446" s="535"/>
      <c r="V446" s="534"/>
      <c r="W446" s="534"/>
      <c r="X446" s="534"/>
      <c r="Y446" s="534"/>
      <c r="Z446" s="534"/>
      <c r="AA446" s="534"/>
      <c r="AB446" s="534"/>
      <c r="AC446" s="534"/>
      <c r="AD446" s="534"/>
    </row>
    <row r="447" spans="1:45" x14ac:dyDescent="0.2">
      <c r="A447" s="533" t="s">
        <v>1108</v>
      </c>
      <c r="B447" s="533">
        <v>2000</v>
      </c>
      <c r="C447" s="533">
        <v>1250</v>
      </c>
      <c r="D447" s="542" t="str">
        <f t="shared" si="16"/>
        <v>CXW20001250</v>
      </c>
      <c r="E447" s="907">
        <f t="shared" si="15"/>
        <v>784.81884000000002</v>
      </c>
      <c r="F447" s="534">
        <v>8</v>
      </c>
      <c r="G447" s="535">
        <f>F447*CCBASE!$B$51</f>
        <v>288</v>
      </c>
      <c r="H447" s="535"/>
      <c r="I447" s="535"/>
      <c r="J447" s="535"/>
      <c r="K447" s="535">
        <f>CCBASE!$I$22*B447/1000</f>
        <v>496.81884000000002</v>
      </c>
      <c r="L447" s="535"/>
      <c r="M447" s="535"/>
      <c r="N447" s="535"/>
      <c r="O447" s="535"/>
      <c r="P447" s="534"/>
      <c r="Q447" s="534"/>
      <c r="R447" s="534"/>
      <c r="S447" s="534"/>
      <c r="T447" s="534"/>
      <c r="U447" s="535"/>
      <c r="V447" s="534"/>
      <c r="W447" s="534"/>
      <c r="X447" s="534"/>
      <c r="Y447" s="534"/>
      <c r="Z447" s="534"/>
      <c r="AA447" s="534"/>
      <c r="AB447" s="534"/>
      <c r="AC447" s="534"/>
      <c r="AD447" s="534"/>
    </row>
    <row r="448" spans="1:45" x14ac:dyDescent="0.2">
      <c r="A448" s="533" t="s">
        <v>1108</v>
      </c>
      <c r="B448" s="533">
        <v>2250</v>
      </c>
      <c r="C448" s="533">
        <v>1250</v>
      </c>
      <c r="D448" s="542" t="str">
        <f t="shared" si="16"/>
        <v>CXW22501250</v>
      </c>
      <c r="E448" s="907">
        <f t="shared" si="15"/>
        <v>846.92119500000001</v>
      </c>
      <c r="F448" s="534">
        <v>8</v>
      </c>
      <c r="G448" s="535">
        <f>F448*CCBASE!$B$51</f>
        <v>288</v>
      </c>
      <c r="H448" s="535"/>
      <c r="I448" s="535"/>
      <c r="J448" s="535"/>
      <c r="K448" s="535">
        <f>CCBASE!$I$22*B448/1000</f>
        <v>558.92119500000001</v>
      </c>
      <c r="L448" s="535"/>
      <c r="M448" s="535"/>
      <c r="N448" s="535"/>
      <c r="O448" s="535"/>
      <c r="P448" s="534"/>
      <c r="Q448" s="534"/>
      <c r="R448" s="534"/>
      <c r="S448" s="534"/>
      <c r="T448" s="534"/>
      <c r="U448" s="535"/>
      <c r="V448" s="534"/>
      <c r="W448" s="534"/>
      <c r="X448" s="534"/>
      <c r="Y448" s="534"/>
      <c r="Z448" s="534"/>
      <c r="AA448" s="534"/>
      <c r="AB448" s="534"/>
      <c r="AC448" s="534"/>
      <c r="AD448" s="534"/>
    </row>
    <row r="449" spans="1:30" x14ac:dyDescent="0.2">
      <c r="A449" s="533" t="s">
        <v>1108</v>
      </c>
      <c r="B449" s="533">
        <v>2500</v>
      </c>
      <c r="C449" s="533">
        <v>1250</v>
      </c>
      <c r="D449" s="542" t="str">
        <f t="shared" si="16"/>
        <v>CXW25001250</v>
      </c>
      <c r="E449" s="907">
        <f t="shared" si="15"/>
        <v>909.02355</v>
      </c>
      <c r="F449" s="534">
        <v>8</v>
      </c>
      <c r="G449" s="535">
        <f>F449*CCBASE!$B$51</f>
        <v>288</v>
      </c>
      <c r="H449" s="535"/>
      <c r="I449" s="535"/>
      <c r="J449" s="535"/>
      <c r="K449" s="535">
        <f>CCBASE!$I$22*B449/1000</f>
        <v>621.02355</v>
      </c>
      <c r="L449" s="535"/>
      <c r="M449" s="535"/>
      <c r="N449" s="535"/>
      <c r="O449" s="535"/>
      <c r="P449" s="534"/>
      <c r="Q449" s="534"/>
      <c r="R449" s="534"/>
      <c r="S449" s="534"/>
      <c r="T449" s="534"/>
      <c r="U449" s="535"/>
      <c r="V449" s="534"/>
      <c r="W449" s="534"/>
      <c r="X449" s="534"/>
      <c r="Y449" s="534"/>
      <c r="Z449" s="534"/>
      <c r="AA449" s="534"/>
      <c r="AB449" s="534"/>
      <c r="AC449" s="534"/>
      <c r="AD449" s="534"/>
    </row>
    <row r="450" spans="1:30" x14ac:dyDescent="0.2">
      <c r="A450" s="533" t="s">
        <v>1108</v>
      </c>
      <c r="B450" s="533">
        <v>2750</v>
      </c>
      <c r="C450" s="533">
        <v>1250</v>
      </c>
      <c r="D450" s="542" t="str">
        <f t="shared" si="16"/>
        <v>CXW27501250</v>
      </c>
      <c r="E450" s="907">
        <f t="shared" ref="E450:E513" si="17">SUM(G450:AD450)</f>
        <v>971.12590499999999</v>
      </c>
      <c r="F450" s="534">
        <v>8</v>
      </c>
      <c r="G450" s="535">
        <f>F450*CCBASE!$B$51</f>
        <v>288</v>
      </c>
      <c r="H450" s="535"/>
      <c r="I450" s="535"/>
      <c r="J450" s="535"/>
      <c r="K450" s="535">
        <f>CCBASE!$I$22*B450/1000</f>
        <v>683.12590499999999</v>
      </c>
      <c r="L450" s="535"/>
      <c r="M450" s="535"/>
      <c r="N450" s="535"/>
      <c r="O450" s="535"/>
      <c r="P450" s="534"/>
      <c r="Q450" s="534"/>
      <c r="R450" s="534"/>
      <c r="S450" s="534"/>
      <c r="T450" s="534"/>
      <c r="U450" s="535"/>
      <c r="V450" s="534"/>
      <c r="W450" s="534"/>
      <c r="X450" s="534"/>
      <c r="Y450" s="534"/>
      <c r="Z450" s="534"/>
      <c r="AA450" s="534"/>
      <c r="AB450" s="534"/>
      <c r="AC450" s="534"/>
      <c r="AD450" s="534"/>
    </row>
    <row r="451" spans="1:30" x14ac:dyDescent="0.2">
      <c r="A451" s="533" t="s">
        <v>1108</v>
      </c>
      <c r="B451" s="533">
        <v>3000</v>
      </c>
      <c r="C451" s="533">
        <v>1250</v>
      </c>
      <c r="D451" s="542" t="str">
        <f t="shared" si="16"/>
        <v>CXW30001250</v>
      </c>
      <c r="E451" s="907">
        <f t="shared" si="17"/>
        <v>1033.2282599999999</v>
      </c>
      <c r="F451" s="534">
        <v>8</v>
      </c>
      <c r="G451" s="535">
        <f>F451*CCBASE!$B$51</f>
        <v>288</v>
      </c>
      <c r="H451" s="535"/>
      <c r="I451" s="535"/>
      <c r="J451" s="535"/>
      <c r="K451" s="535">
        <f>CCBASE!$I$22*B451/1000</f>
        <v>745.22825999999998</v>
      </c>
      <c r="L451" s="535"/>
      <c r="M451" s="535"/>
      <c r="N451" s="535"/>
      <c r="O451" s="535"/>
      <c r="P451" s="534"/>
      <c r="Q451" s="534"/>
      <c r="R451" s="534"/>
      <c r="S451" s="534"/>
      <c r="T451" s="534"/>
      <c r="U451" s="535"/>
      <c r="V451" s="534"/>
      <c r="W451" s="534"/>
      <c r="X451" s="534"/>
      <c r="Y451" s="534"/>
      <c r="Z451" s="534"/>
      <c r="AA451" s="534"/>
      <c r="AB451" s="534"/>
      <c r="AC451" s="534"/>
      <c r="AD451" s="534"/>
    </row>
    <row r="452" spans="1:30" x14ac:dyDescent="0.2">
      <c r="A452" s="533" t="s">
        <v>1108</v>
      </c>
      <c r="B452" s="533">
        <v>1000</v>
      </c>
      <c r="C452" s="533">
        <v>1500</v>
      </c>
      <c r="D452" s="542" t="str">
        <f t="shared" si="16"/>
        <v>CXW10001500</v>
      </c>
      <c r="E452" s="907">
        <f t="shared" si="17"/>
        <v>538.85373499999992</v>
      </c>
      <c r="F452" s="534">
        <v>7</v>
      </c>
      <c r="G452" s="535">
        <f>F452*CCBASE!$B$51</f>
        <v>252</v>
      </c>
      <c r="H452" s="535"/>
      <c r="I452" s="535"/>
      <c r="J452" s="535"/>
      <c r="K452" s="535">
        <f>CCBASE!$I$23*B452/1000</f>
        <v>286.85373499999997</v>
      </c>
      <c r="L452" s="535"/>
      <c r="M452" s="535"/>
      <c r="N452" s="535"/>
      <c r="O452" s="535"/>
      <c r="P452" s="534"/>
      <c r="Q452" s="534"/>
      <c r="R452" s="534"/>
      <c r="S452" s="534"/>
      <c r="T452" s="534"/>
      <c r="U452" s="535"/>
      <c r="V452" s="534"/>
      <c r="W452" s="534"/>
      <c r="X452" s="534"/>
      <c r="Y452" s="534"/>
      <c r="Z452" s="534"/>
      <c r="AA452" s="534"/>
      <c r="AB452" s="534"/>
      <c r="AC452" s="534"/>
      <c r="AD452" s="534"/>
    </row>
    <row r="453" spans="1:30" x14ac:dyDescent="0.2">
      <c r="A453" s="533" t="s">
        <v>1108</v>
      </c>
      <c r="B453" s="533">
        <v>1250</v>
      </c>
      <c r="C453" s="533">
        <v>1500</v>
      </c>
      <c r="D453" s="542" t="str">
        <f t="shared" si="16"/>
        <v>CXW12501500</v>
      </c>
      <c r="E453" s="907">
        <f t="shared" si="17"/>
        <v>610.56716874999995</v>
      </c>
      <c r="F453" s="534">
        <v>7</v>
      </c>
      <c r="G453" s="535">
        <f>F453*CCBASE!$B$51</f>
        <v>252</v>
      </c>
      <c r="H453" s="535"/>
      <c r="I453" s="535"/>
      <c r="J453" s="535"/>
      <c r="K453" s="535">
        <f>CCBASE!$I$23*B453/1000</f>
        <v>358.56716874999995</v>
      </c>
      <c r="L453" s="535"/>
      <c r="M453" s="535"/>
      <c r="N453" s="535"/>
      <c r="O453" s="535"/>
      <c r="P453" s="534"/>
      <c r="Q453" s="534"/>
      <c r="R453" s="534"/>
      <c r="S453" s="534"/>
      <c r="T453" s="534"/>
      <c r="U453" s="535"/>
      <c r="V453" s="534"/>
      <c r="W453" s="534"/>
      <c r="X453" s="534"/>
      <c r="Y453" s="534"/>
      <c r="Z453" s="534"/>
      <c r="AA453" s="534"/>
      <c r="AB453" s="534"/>
      <c r="AC453" s="534"/>
      <c r="AD453" s="534"/>
    </row>
    <row r="454" spans="1:30" x14ac:dyDescent="0.2">
      <c r="A454" s="533" t="s">
        <v>1108</v>
      </c>
      <c r="B454" s="533">
        <v>1500</v>
      </c>
      <c r="C454" s="533">
        <v>1500</v>
      </c>
      <c r="D454" s="542" t="str">
        <f t="shared" si="16"/>
        <v>CXW15001500</v>
      </c>
      <c r="E454" s="907">
        <f t="shared" si="17"/>
        <v>682.28060249999999</v>
      </c>
      <c r="F454" s="534">
        <v>7</v>
      </c>
      <c r="G454" s="535">
        <f>F454*CCBASE!$B$51</f>
        <v>252</v>
      </c>
      <c r="H454" s="535"/>
      <c r="I454" s="535"/>
      <c r="J454" s="535"/>
      <c r="K454" s="535">
        <f>CCBASE!$I$23*B454/1000</f>
        <v>430.28060249999999</v>
      </c>
      <c r="L454" s="535"/>
      <c r="M454" s="535"/>
      <c r="N454" s="535"/>
      <c r="O454" s="535"/>
      <c r="P454" s="534"/>
      <c r="Q454" s="534"/>
      <c r="R454" s="534"/>
      <c r="S454" s="534"/>
      <c r="T454" s="534"/>
      <c r="U454" s="535"/>
      <c r="V454" s="534"/>
      <c r="W454" s="534"/>
      <c r="X454" s="534"/>
      <c r="Y454" s="534"/>
      <c r="Z454" s="534"/>
      <c r="AA454" s="534"/>
      <c r="AB454" s="534"/>
      <c r="AC454" s="534"/>
      <c r="AD454" s="534"/>
    </row>
    <row r="455" spans="1:30" x14ac:dyDescent="0.2">
      <c r="A455" s="533" t="s">
        <v>1108</v>
      </c>
      <c r="B455" s="533">
        <v>1750</v>
      </c>
      <c r="C455" s="533">
        <v>1500</v>
      </c>
      <c r="D455" s="542" t="str">
        <f t="shared" si="16"/>
        <v>CXW17501500</v>
      </c>
      <c r="E455" s="907">
        <f t="shared" si="17"/>
        <v>789.99403624999991</v>
      </c>
      <c r="F455" s="534">
        <v>8</v>
      </c>
      <c r="G455" s="535">
        <f>F455*CCBASE!$B$51</f>
        <v>288</v>
      </c>
      <c r="H455" s="535"/>
      <c r="I455" s="535"/>
      <c r="J455" s="535"/>
      <c r="K455" s="535">
        <f>CCBASE!$I$23*B455/1000</f>
        <v>501.99403624999997</v>
      </c>
      <c r="L455" s="535"/>
      <c r="M455" s="535"/>
      <c r="N455" s="535"/>
      <c r="O455" s="535"/>
      <c r="P455" s="534"/>
      <c r="Q455" s="534"/>
      <c r="R455" s="534"/>
      <c r="S455" s="534"/>
      <c r="T455" s="534"/>
      <c r="U455" s="535"/>
      <c r="V455" s="534"/>
      <c r="W455" s="534"/>
      <c r="X455" s="534"/>
      <c r="Y455" s="534"/>
      <c r="Z455" s="534"/>
      <c r="AA455" s="534"/>
      <c r="AB455" s="534"/>
      <c r="AC455" s="534"/>
      <c r="AD455" s="534"/>
    </row>
    <row r="456" spans="1:30" x14ac:dyDescent="0.2">
      <c r="A456" s="533" t="s">
        <v>1108</v>
      </c>
      <c r="B456" s="533">
        <v>2000</v>
      </c>
      <c r="C456" s="533">
        <v>1500</v>
      </c>
      <c r="D456" s="542" t="str">
        <f t="shared" si="16"/>
        <v>CXW20001500</v>
      </c>
      <c r="E456" s="907">
        <f t="shared" si="17"/>
        <v>861.70746999999994</v>
      </c>
      <c r="F456" s="534">
        <v>8</v>
      </c>
      <c r="G456" s="535">
        <f>F456*CCBASE!$B$51</f>
        <v>288</v>
      </c>
      <c r="H456" s="535"/>
      <c r="I456" s="535"/>
      <c r="J456" s="535"/>
      <c r="K456" s="535">
        <f>CCBASE!$I$23*B456/1000</f>
        <v>573.70746999999994</v>
      </c>
      <c r="L456" s="535"/>
      <c r="M456" s="535"/>
      <c r="N456" s="535"/>
      <c r="O456" s="535"/>
      <c r="P456" s="534"/>
      <c r="Q456" s="534"/>
      <c r="R456" s="534"/>
      <c r="S456" s="534"/>
      <c r="T456" s="534"/>
      <c r="U456" s="535"/>
      <c r="V456" s="534"/>
      <c r="W456" s="534"/>
      <c r="X456" s="534"/>
      <c r="Y456" s="534"/>
      <c r="Z456" s="534"/>
      <c r="AA456" s="534"/>
      <c r="AB456" s="534"/>
      <c r="AC456" s="534"/>
      <c r="AD456" s="534"/>
    </row>
    <row r="457" spans="1:30" x14ac:dyDescent="0.2">
      <c r="A457" s="533" t="s">
        <v>1108</v>
      </c>
      <c r="B457" s="533">
        <v>2250</v>
      </c>
      <c r="C457" s="533">
        <v>1500</v>
      </c>
      <c r="D457" s="542" t="str">
        <f t="shared" si="16"/>
        <v>CXW22501500</v>
      </c>
      <c r="E457" s="907">
        <f t="shared" si="17"/>
        <v>933.42090374999998</v>
      </c>
      <c r="F457" s="534">
        <v>8</v>
      </c>
      <c r="G457" s="535">
        <f>F457*CCBASE!$B$51</f>
        <v>288</v>
      </c>
      <c r="H457" s="535"/>
      <c r="I457" s="535"/>
      <c r="J457" s="535"/>
      <c r="K457" s="535">
        <f>CCBASE!$I$23*B457/1000</f>
        <v>645.42090374999998</v>
      </c>
      <c r="L457" s="535"/>
      <c r="M457" s="535"/>
      <c r="N457" s="535"/>
      <c r="O457" s="535"/>
      <c r="P457" s="534"/>
      <c r="Q457" s="534"/>
      <c r="R457" s="534"/>
      <c r="S457" s="534"/>
      <c r="T457" s="534"/>
      <c r="U457" s="535"/>
      <c r="V457" s="534"/>
      <c r="W457" s="534"/>
      <c r="X457" s="534"/>
      <c r="Y457" s="534"/>
      <c r="Z457" s="534"/>
      <c r="AA457" s="534"/>
      <c r="AB457" s="534"/>
      <c r="AC457" s="534"/>
      <c r="AD457" s="534"/>
    </row>
    <row r="458" spans="1:30" x14ac:dyDescent="0.2">
      <c r="A458" s="533" t="s">
        <v>1108</v>
      </c>
      <c r="B458" s="533">
        <v>2500</v>
      </c>
      <c r="C458" s="533">
        <v>1500</v>
      </c>
      <c r="D458" s="542" t="str">
        <f t="shared" si="16"/>
        <v>CXW25001500</v>
      </c>
      <c r="E458" s="907">
        <f t="shared" si="17"/>
        <v>1005.1343374999999</v>
      </c>
      <c r="F458" s="534">
        <v>8</v>
      </c>
      <c r="G458" s="535">
        <f>F458*CCBASE!$B$51</f>
        <v>288</v>
      </c>
      <c r="H458" s="535"/>
      <c r="I458" s="535"/>
      <c r="J458" s="535"/>
      <c r="K458" s="535">
        <f>CCBASE!$I$23*B458/1000</f>
        <v>717.1343374999999</v>
      </c>
      <c r="L458" s="535"/>
      <c r="M458" s="535"/>
      <c r="N458" s="535"/>
      <c r="O458" s="535"/>
      <c r="P458" s="534"/>
      <c r="Q458" s="534"/>
      <c r="R458" s="534"/>
      <c r="S458" s="534"/>
      <c r="T458" s="534"/>
      <c r="U458" s="535"/>
      <c r="V458" s="534"/>
      <c r="W458" s="534"/>
      <c r="X458" s="534"/>
      <c r="Y458" s="534"/>
      <c r="Z458" s="534"/>
      <c r="AA458" s="534"/>
      <c r="AB458" s="534"/>
      <c r="AC458" s="534"/>
      <c r="AD458" s="534"/>
    </row>
    <row r="459" spans="1:30" x14ac:dyDescent="0.2">
      <c r="A459" s="533" t="s">
        <v>1108</v>
      </c>
      <c r="B459" s="533">
        <v>2750</v>
      </c>
      <c r="C459" s="533">
        <v>1500</v>
      </c>
      <c r="D459" s="542" t="str">
        <f t="shared" si="16"/>
        <v>CXW27501500</v>
      </c>
      <c r="E459" s="907">
        <f t="shared" si="17"/>
        <v>1076.8477712499998</v>
      </c>
      <c r="F459" s="534">
        <v>8</v>
      </c>
      <c r="G459" s="535">
        <f>F459*CCBASE!$B$51</f>
        <v>288</v>
      </c>
      <c r="H459" s="535"/>
      <c r="I459" s="535"/>
      <c r="J459" s="535"/>
      <c r="K459" s="535">
        <f>CCBASE!$I$23*B459/1000</f>
        <v>788.84777124999982</v>
      </c>
      <c r="L459" s="535"/>
      <c r="M459" s="535"/>
      <c r="N459" s="535"/>
      <c r="O459" s="535"/>
      <c r="P459" s="534"/>
      <c r="Q459" s="534"/>
      <c r="R459" s="534"/>
      <c r="S459" s="534"/>
      <c r="T459" s="534"/>
      <c r="U459" s="535"/>
      <c r="V459" s="534"/>
      <c r="W459" s="534"/>
      <c r="X459" s="534"/>
      <c r="Y459" s="534"/>
      <c r="Z459" s="534"/>
      <c r="AA459" s="534"/>
      <c r="AB459" s="534"/>
      <c r="AC459" s="534"/>
      <c r="AD459" s="534"/>
    </row>
    <row r="460" spans="1:30" x14ac:dyDescent="0.2">
      <c r="A460" s="533" t="s">
        <v>1108</v>
      </c>
      <c r="B460" s="533">
        <v>3000</v>
      </c>
      <c r="C460" s="533">
        <v>1500</v>
      </c>
      <c r="D460" s="542" t="str">
        <f t="shared" si="16"/>
        <v>CXW30001500</v>
      </c>
      <c r="E460" s="907">
        <f t="shared" si="17"/>
        <v>1148.561205</v>
      </c>
      <c r="F460" s="534">
        <v>8</v>
      </c>
      <c r="G460" s="535">
        <f>F460*CCBASE!$B$51</f>
        <v>288</v>
      </c>
      <c r="H460" s="535"/>
      <c r="I460" s="535"/>
      <c r="J460" s="535"/>
      <c r="K460" s="535">
        <f>CCBASE!$I$23*B460/1000</f>
        <v>860.56120499999997</v>
      </c>
      <c r="L460" s="535"/>
      <c r="M460" s="535"/>
      <c r="N460" s="535"/>
      <c r="O460" s="535"/>
      <c r="P460" s="534"/>
      <c r="Q460" s="534"/>
      <c r="R460" s="534"/>
      <c r="S460" s="534"/>
      <c r="T460" s="534"/>
      <c r="U460" s="535"/>
      <c r="V460" s="534"/>
      <c r="W460" s="534"/>
      <c r="X460" s="534"/>
      <c r="Y460" s="534"/>
      <c r="Z460" s="534"/>
      <c r="AA460" s="534"/>
      <c r="AB460" s="534"/>
      <c r="AC460" s="534"/>
      <c r="AD460" s="534"/>
    </row>
    <row r="461" spans="1:30" x14ac:dyDescent="0.2">
      <c r="A461" s="533" t="s">
        <v>1108</v>
      </c>
      <c r="B461" s="533">
        <v>1000</v>
      </c>
      <c r="C461" s="533">
        <v>1750</v>
      </c>
      <c r="D461" s="542" t="str">
        <f t="shared" si="16"/>
        <v>CXW10001750</v>
      </c>
      <c r="E461" s="907">
        <f t="shared" si="17"/>
        <v>666.01569999999992</v>
      </c>
      <c r="F461" s="534">
        <v>7</v>
      </c>
      <c r="G461" s="535">
        <f>F461*CCBASE!$B$51</f>
        <v>252</v>
      </c>
      <c r="H461" s="535"/>
      <c r="I461" s="535"/>
      <c r="J461" s="535"/>
      <c r="K461" s="535">
        <f>CCBASE!$I$24*B461/1000</f>
        <v>414.01569999999998</v>
      </c>
      <c r="L461" s="535"/>
      <c r="M461" s="535"/>
      <c r="N461" s="535"/>
      <c r="O461" s="535"/>
      <c r="P461" s="534"/>
      <c r="Q461" s="534"/>
      <c r="R461" s="534"/>
      <c r="S461" s="534"/>
      <c r="T461" s="534"/>
      <c r="U461" s="535"/>
      <c r="V461" s="534"/>
      <c r="W461" s="534"/>
      <c r="X461" s="534"/>
      <c r="Y461" s="534"/>
      <c r="Z461" s="534"/>
      <c r="AA461" s="534"/>
      <c r="AB461" s="534"/>
      <c r="AC461" s="534"/>
      <c r="AD461" s="534"/>
    </row>
    <row r="462" spans="1:30" x14ac:dyDescent="0.2">
      <c r="A462" s="533" t="s">
        <v>1108</v>
      </c>
      <c r="B462" s="533">
        <v>1250</v>
      </c>
      <c r="C462" s="533">
        <v>1750</v>
      </c>
      <c r="D462" s="542" t="str">
        <f t="shared" si="16"/>
        <v>CXW12501750</v>
      </c>
      <c r="E462" s="907">
        <f t="shared" si="17"/>
        <v>769.51962499999991</v>
      </c>
      <c r="F462" s="534">
        <v>7</v>
      </c>
      <c r="G462" s="535">
        <f>F462*CCBASE!$B$51</f>
        <v>252</v>
      </c>
      <c r="H462" s="535"/>
      <c r="I462" s="535"/>
      <c r="J462" s="535"/>
      <c r="K462" s="535">
        <f>CCBASE!$I$24*B462/1000</f>
        <v>517.51962499999991</v>
      </c>
      <c r="L462" s="535"/>
      <c r="M462" s="535"/>
      <c r="N462" s="535"/>
      <c r="O462" s="535"/>
      <c r="P462" s="534"/>
      <c r="Q462" s="534"/>
      <c r="R462" s="534"/>
      <c r="S462" s="534"/>
      <c r="T462" s="534"/>
      <c r="U462" s="535"/>
      <c r="V462" s="534"/>
      <c r="W462" s="534"/>
      <c r="X462" s="534"/>
      <c r="Y462" s="534"/>
      <c r="Z462" s="534"/>
      <c r="AA462" s="534"/>
      <c r="AB462" s="534"/>
      <c r="AC462" s="534"/>
      <c r="AD462" s="534"/>
    </row>
    <row r="463" spans="1:30" x14ac:dyDescent="0.2">
      <c r="A463" s="533" t="s">
        <v>1108</v>
      </c>
      <c r="B463" s="533">
        <v>1500</v>
      </c>
      <c r="C463" s="533">
        <v>1750</v>
      </c>
      <c r="D463" s="542" t="str">
        <f t="shared" si="16"/>
        <v>CXW15001750</v>
      </c>
      <c r="E463" s="907">
        <f t="shared" si="17"/>
        <v>873.02354999999989</v>
      </c>
      <c r="F463" s="534">
        <v>7</v>
      </c>
      <c r="G463" s="535">
        <f>F463*CCBASE!$B$51</f>
        <v>252</v>
      </c>
      <c r="H463" s="535"/>
      <c r="I463" s="535"/>
      <c r="J463" s="535"/>
      <c r="K463" s="535">
        <f>CCBASE!$I$24*B463/1000</f>
        <v>621.02354999999989</v>
      </c>
      <c r="L463" s="535"/>
      <c r="M463" s="535"/>
      <c r="N463" s="535"/>
      <c r="O463" s="535"/>
      <c r="P463" s="534"/>
      <c r="Q463" s="534"/>
      <c r="R463" s="534"/>
      <c r="S463" s="534"/>
      <c r="T463" s="534"/>
      <c r="U463" s="535"/>
      <c r="V463" s="534"/>
      <c r="W463" s="534"/>
      <c r="X463" s="534"/>
      <c r="Y463" s="534"/>
      <c r="Z463" s="534"/>
      <c r="AA463" s="534"/>
      <c r="AB463" s="534"/>
      <c r="AC463" s="534"/>
      <c r="AD463" s="534"/>
    </row>
    <row r="464" spans="1:30" x14ac:dyDescent="0.2">
      <c r="A464" s="533" t="s">
        <v>1108</v>
      </c>
      <c r="B464" s="533">
        <v>1750</v>
      </c>
      <c r="C464" s="533">
        <v>1750</v>
      </c>
      <c r="D464" s="542" t="str">
        <f t="shared" si="16"/>
        <v>CXW17501750</v>
      </c>
      <c r="E464" s="907">
        <f t="shared" si="17"/>
        <v>1012.5274749999999</v>
      </c>
      <c r="F464" s="534">
        <v>8</v>
      </c>
      <c r="G464" s="535">
        <f>F464*CCBASE!$B$51</f>
        <v>288</v>
      </c>
      <c r="H464" s="535"/>
      <c r="I464" s="535"/>
      <c r="J464" s="535"/>
      <c r="K464" s="535">
        <f>CCBASE!$I$24*B464/1000</f>
        <v>724.52747499999987</v>
      </c>
      <c r="L464" s="535"/>
      <c r="M464" s="535"/>
      <c r="N464" s="535"/>
      <c r="O464" s="535"/>
      <c r="P464" s="534"/>
      <c r="Q464" s="534"/>
      <c r="R464" s="534"/>
      <c r="S464" s="534"/>
      <c r="T464" s="534"/>
      <c r="U464" s="535"/>
      <c r="V464" s="534"/>
      <c r="W464" s="534"/>
      <c r="X464" s="534"/>
      <c r="Y464" s="534"/>
      <c r="Z464" s="534"/>
      <c r="AA464" s="534"/>
      <c r="AB464" s="534"/>
      <c r="AC464" s="534"/>
      <c r="AD464" s="534"/>
    </row>
    <row r="465" spans="1:30" x14ac:dyDescent="0.2">
      <c r="A465" s="533" t="s">
        <v>1108</v>
      </c>
      <c r="B465" s="533">
        <v>2000</v>
      </c>
      <c r="C465" s="533">
        <v>1750</v>
      </c>
      <c r="D465" s="542" t="str">
        <f t="shared" si="16"/>
        <v>CXW20001750</v>
      </c>
      <c r="E465" s="907">
        <f t="shared" si="17"/>
        <v>1116.0313999999998</v>
      </c>
      <c r="F465" s="534">
        <v>8</v>
      </c>
      <c r="G465" s="535">
        <f>F465*CCBASE!$B$51</f>
        <v>288</v>
      </c>
      <c r="H465" s="535"/>
      <c r="I465" s="535"/>
      <c r="J465" s="535"/>
      <c r="K465" s="535">
        <f>CCBASE!$I$24*B465/1000</f>
        <v>828.03139999999996</v>
      </c>
      <c r="L465" s="535"/>
      <c r="M465" s="535"/>
      <c r="N465" s="535"/>
      <c r="O465" s="535"/>
      <c r="P465" s="534"/>
      <c r="Q465" s="534"/>
      <c r="R465" s="534"/>
      <c r="S465" s="534"/>
      <c r="T465" s="534"/>
      <c r="U465" s="535"/>
      <c r="V465" s="534"/>
      <c r="W465" s="534"/>
      <c r="X465" s="534"/>
      <c r="Y465" s="534"/>
      <c r="Z465" s="534"/>
      <c r="AA465" s="534"/>
      <c r="AB465" s="534"/>
      <c r="AC465" s="534"/>
      <c r="AD465" s="534"/>
    </row>
    <row r="466" spans="1:30" x14ac:dyDescent="0.2">
      <c r="A466" s="533" t="s">
        <v>1108</v>
      </c>
      <c r="B466" s="533">
        <v>2250</v>
      </c>
      <c r="C466" s="533">
        <v>1750</v>
      </c>
      <c r="D466" s="542" t="str">
        <f t="shared" si="16"/>
        <v>CXW22501750</v>
      </c>
      <c r="E466" s="907">
        <f t="shared" si="17"/>
        <v>1219.5353249999998</v>
      </c>
      <c r="F466" s="534">
        <v>8</v>
      </c>
      <c r="G466" s="535">
        <f>F466*CCBASE!$B$51</f>
        <v>288</v>
      </c>
      <c r="H466" s="535"/>
      <c r="I466" s="535"/>
      <c r="J466" s="535"/>
      <c r="K466" s="535">
        <f>CCBASE!$I$24*B466/1000</f>
        <v>931.53532499999983</v>
      </c>
      <c r="L466" s="535"/>
      <c r="M466" s="535"/>
      <c r="N466" s="535"/>
      <c r="O466" s="535"/>
      <c r="P466" s="534"/>
      <c r="Q466" s="534"/>
      <c r="R466" s="534"/>
      <c r="S466" s="534"/>
      <c r="T466" s="534"/>
      <c r="U466" s="535"/>
      <c r="V466" s="534"/>
      <c r="W466" s="534"/>
      <c r="X466" s="534"/>
      <c r="Y466" s="534"/>
      <c r="Z466" s="534"/>
      <c r="AA466" s="534"/>
      <c r="AB466" s="534"/>
      <c r="AC466" s="534"/>
      <c r="AD466" s="534"/>
    </row>
    <row r="467" spans="1:30" x14ac:dyDescent="0.2">
      <c r="A467" s="533" t="s">
        <v>1108</v>
      </c>
      <c r="B467" s="533">
        <v>2500</v>
      </c>
      <c r="C467" s="533">
        <v>1750</v>
      </c>
      <c r="D467" s="542" t="str">
        <f t="shared" si="16"/>
        <v>CXW25001750</v>
      </c>
      <c r="E467" s="907">
        <f t="shared" si="17"/>
        <v>1323.0392499999998</v>
      </c>
      <c r="F467" s="534">
        <v>8</v>
      </c>
      <c r="G467" s="535">
        <f>F467*CCBASE!$B$51</f>
        <v>288</v>
      </c>
      <c r="H467" s="535"/>
      <c r="I467" s="535"/>
      <c r="J467" s="535"/>
      <c r="K467" s="535">
        <f>CCBASE!$I$24*B467/1000</f>
        <v>1035.0392499999998</v>
      </c>
      <c r="L467" s="535"/>
      <c r="M467" s="535"/>
      <c r="N467" s="535"/>
      <c r="O467" s="535"/>
      <c r="P467" s="534"/>
      <c r="Q467" s="534"/>
      <c r="R467" s="534"/>
      <c r="S467" s="534"/>
      <c r="T467" s="534"/>
      <c r="U467" s="535"/>
      <c r="V467" s="534"/>
      <c r="W467" s="534"/>
      <c r="X467" s="534"/>
      <c r="Y467" s="534"/>
      <c r="Z467" s="534"/>
      <c r="AA467" s="534"/>
      <c r="AB467" s="534"/>
      <c r="AC467" s="534"/>
      <c r="AD467" s="534"/>
    </row>
    <row r="468" spans="1:30" x14ac:dyDescent="0.2">
      <c r="A468" s="533" t="s">
        <v>1108</v>
      </c>
      <c r="B468" s="533">
        <v>2750</v>
      </c>
      <c r="C468" s="533">
        <v>1750</v>
      </c>
      <c r="D468" s="542" t="str">
        <f t="shared" si="16"/>
        <v>CXW27501750</v>
      </c>
      <c r="E468" s="907">
        <f t="shared" si="17"/>
        <v>1426.5431749999998</v>
      </c>
      <c r="F468" s="534">
        <v>8</v>
      </c>
      <c r="G468" s="535">
        <f>F468*CCBASE!$B$51</f>
        <v>288</v>
      </c>
      <c r="H468" s="535"/>
      <c r="I468" s="535"/>
      <c r="J468" s="535"/>
      <c r="K468" s="535">
        <f>CCBASE!$I$24*B468/1000</f>
        <v>1138.5431749999998</v>
      </c>
      <c r="L468" s="535"/>
      <c r="M468" s="535"/>
      <c r="N468" s="535"/>
      <c r="O468" s="535"/>
      <c r="P468" s="534"/>
      <c r="Q468" s="534"/>
      <c r="R468" s="534"/>
      <c r="S468" s="534"/>
      <c r="T468" s="534"/>
      <c r="U468" s="535"/>
      <c r="V468" s="534"/>
      <c r="W468" s="534"/>
      <c r="X468" s="534"/>
      <c r="Y468" s="534"/>
      <c r="Z468" s="534"/>
      <c r="AA468" s="534"/>
      <c r="AB468" s="534"/>
      <c r="AC468" s="534"/>
      <c r="AD468" s="534"/>
    </row>
    <row r="469" spans="1:30" x14ac:dyDescent="0.2">
      <c r="A469" s="533" t="s">
        <v>1108</v>
      </c>
      <c r="B469" s="533">
        <v>3000</v>
      </c>
      <c r="C469" s="533">
        <v>1750</v>
      </c>
      <c r="D469" s="542" t="str">
        <f t="shared" si="16"/>
        <v>CXW30001750</v>
      </c>
      <c r="E469" s="907">
        <f t="shared" si="17"/>
        <v>1530.0470999999998</v>
      </c>
      <c r="F469" s="534">
        <v>8</v>
      </c>
      <c r="G469" s="535">
        <f>F469*CCBASE!$B$51</f>
        <v>288</v>
      </c>
      <c r="H469" s="535"/>
      <c r="I469" s="535"/>
      <c r="J469" s="535"/>
      <c r="K469" s="535">
        <f>CCBASE!$I$24*B469/1000</f>
        <v>1242.0470999999998</v>
      </c>
      <c r="L469" s="535"/>
      <c r="M469" s="535"/>
      <c r="N469" s="535"/>
      <c r="O469" s="535"/>
      <c r="P469" s="534"/>
      <c r="Q469" s="534"/>
      <c r="R469" s="534"/>
      <c r="S469" s="534"/>
      <c r="T469" s="534"/>
      <c r="U469" s="535"/>
      <c r="V469" s="534"/>
      <c r="W469" s="534"/>
      <c r="X469" s="534"/>
      <c r="Y469" s="534"/>
      <c r="Z469" s="534"/>
      <c r="AA469" s="534"/>
      <c r="AB469" s="534"/>
      <c r="AC469" s="534"/>
      <c r="AD469" s="534"/>
    </row>
    <row r="470" spans="1:30" x14ac:dyDescent="0.2">
      <c r="A470" s="533" t="s">
        <v>1108</v>
      </c>
      <c r="B470" s="533">
        <v>1000</v>
      </c>
      <c r="C470" s="533">
        <v>2000</v>
      </c>
      <c r="D470" s="542" t="str">
        <f t="shared" si="16"/>
        <v>CXW10002000</v>
      </c>
      <c r="E470" s="907">
        <f t="shared" si="17"/>
        <v>710.37452499999995</v>
      </c>
      <c r="F470" s="534">
        <v>7</v>
      </c>
      <c r="G470" s="535">
        <f>F470*CCBASE!$B$51</f>
        <v>252</v>
      </c>
      <c r="H470" s="535"/>
      <c r="I470" s="535"/>
      <c r="J470" s="535"/>
      <c r="K470" s="535">
        <f>CCBASE!$I$25*B470/1000</f>
        <v>458.37452499999995</v>
      </c>
      <c r="L470" s="535"/>
      <c r="M470" s="535"/>
      <c r="N470" s="535"/>
      <c r="O470" s="535"/>
      <c r="P470" s="534"/>
      <c r="Q470" s="534"/>
      <c r="R470" s="534"/>
      <c r="S470" s="534"/>
      <c r="T470" s="534"/>
      <c r="U470" s="535"/>
      <c r="V470" s="534"/>
      <c r="W470" s="534"/>
      <c r="X470" s="534"/>
      <c r="Y470" s="534"/>
      <c r="Z470" s="534"/>
      <c r="AA470" s="534"/>
      <c r="AB470" s="534"/>
      <c r="AC470" s="534"/>
      <c r="AD470" s="534"/>
    </row>
    <row r="471" spans="1:30" x14ac:dyDescent="0.2">
      <c r="A471" s="533" t="s">
        <v>1108</v>
      </c>
      <c r="B471" s="533">
        <v>1250</v>
      </c>
      <c r="C471" s="533">
        <v>2000</v>
      </c>
      <c r="D471" s="542" t="str">
        <f t="shared" si="16"/>
        <v>CXW12502000</v>
      </c>
      <c r="E471" s="907">
        <f t="shared" si="17"/>
        <v>824.96815624999988</v>
      </c>
      <c r="F471" s="534">
        <v>7</v>
      </c>
      <c r="G471" s="535">
        <f>F471*CCBASE!$B$51</f>
        <v>252</v>
      </c>
      <c r="H471" s="535"/>
      <c r="I471" s="535"/>
      <c r="J471" s="535"/>
      <c r="K471" s="535">
        <f>CCBASE!$I$25*B471/1000</f>
        <v>572.96815624999988</v>
      </c>
      <c r="L471" s="535"/>
      <c r="M471" s="535"/>
      <c r="N471" s="535"/>
      <c r="O471" s="535"/>
      <c r="P471" s="534"/>
      <c r="Q471" s="534"/>
      <c r="R471" s="534"/>
      <c r="S471" s="534"/>
      <c r="T471" s="534"/>
      <c r="U471" s="535"/>
      <c r="V471" s="534"/>
      <c r="W471" s="534"/>
      <c r="X471" s="534"/>
      <c r="Y471" s="534"/>
      <c r="Z471" s="534"/>
      <c r="AA471" s="534"/>
      <c r="AB471" s="534"/>
      <c r="AC471" s="534"/>
      <c r="AD471" s="534"/>
    </row>
    <row r="472" spans="1:30" x14ac:dyDescent="0.2">
      <c r="A472" s="533" t="s">
        <v>1108</v>
      </c>
      <c r="B472" s="533">
        <v>1500</v>
      </c>
      <c r="C472" s="533">
        <v>2000</v>
      </c>
      <c r="D472" s="542" t="str">
        <f t="shared" si="16"/>
        <v>CXW15002000</v>
      </c>
      <c r="E472" s="907">
        <f t="shared" si="17"/>
        <v>939.56178749999992</v>
      </c>
      <c r="F472" s="534">
        <v>7</v>
      </c>
      <c r="G472" s="535">
        <f>F472*CCBASE!$B$51</f>
        <v>252</v>
      </c>
      <c r="H472" s="535"/>
      <c r="I472" s="535"/>
      <c r="J472" s="535"/>
      <c r="K472" s="535">
        <f>CCBASE!$I$25*B472/1000</f>
        <v>687.56178749999992</v>
      </c>
      <c r="L472" s="535"/>
      <c r="M472" s="535"/>
      <c r="N472" s="535"/>
      <c r="O472" s="535"/>
      <c r="P472" s="534"/>
      <c r="Q472" s="534"/>
      <c r="R472" s="534"/>
      <c r="S472" s="534"/>
      <c r="T472" s="534"/>
      <c r="U472" s="535"/>
      <c r="V472" s="534"/>
      <c r="W472" s="534"/>
      <c r="X472" s="534"/>
      <c r="Y472" s="534"/>
      <c r="Z472" s="534"/>
      <c r="AA472" s="534"/>
      <c r="AB472" s="534"/>
      <c r="AC472" s="534"/>
      <c r="AD472" s="534"/>
    </row>
    <row r="473" spans="1:30" x14ac:dyDescent="0.2">
      <c r="A473" s="533" t="s">
        <v>1108</v>
      </c>
      <c r="B473" s="533">
        <v>1750</v>
      </c>
      <c r="C473" s="533">
        <v>2000</v>
      </c>
      <c r="D473" s="542" t="str">
        <f t="shared" si="16"/>
        <v>CXW17502000</v>
      </c>
      <c r="E473" s="907">
        <f t="shared" si="17"/>
        <v>1090.1554187500001</v>
      </c>
      <c r="F473" s="534">
        <v>8</v>
      </c>
      <c r="G473" s="535">
        <f>F473*CCBASE!$B$51</f>
        <v>288</v>
      </c>
      <c r="H473" s="535"/>
      <c r="I473" s="535"/>
      <c r="J473" s="535"/>
      <c r="K473" s="535">
        <f>CCBASE!$I$25*B473/1000</f>
        <v>802.15541874999997</v>
      </c>
      <c r="L473" s="535"/>
      <c r="M473" s="535"/>
      <c r="N473" s="535"/>
      <c r="O473" s="535"/>
      <c r="P473" s="534"/>
      <c r="Q473" s="534"/>
      <c r="R473" s="534"/>
      <c r="S473" s="534"/>
      <c r="T473" s="534"/>
      <c r="U473" s="535"/>
      <c r="V473" s="534"/>
      <c r="W473" s="534"/>
      <c r="X473" s="534"/>
      <c r="Y473" s="534"/>
      <c r="Z473" s="534"/>
      <c r="AA473" s="534"/>
      <c r="AB473" s="534"/>
      <c r="AC473" s="534"/>
      <c r="AD473" s="534"/>
    </row>
    <row r="474" spans="1:30" x14ac:dyDescent="0.2">
      <c r="A474" s="533" t="s">
        <v>1108</v>
      </c>
      <c r="B474" s="533">
        <v>2000</v>
      </c>
      <c r="C474" s="533">
        <v>2000</v>
      </c>
      <c r="D474" s="542" t="str">
        <f t="shared" si="16"/>
        <v>CXW20002000</v>
      </c>
      <c r="E474" s="907">
        <f t="shared" si="17"/>
        <v>1204.7490499999999</v>
      </c>
      <c r="F474" s="534">
        <v>8</v>
      </c>
      <c r="G474" s="535">
        <f>F474*CCBASE!$B$51</f>
        <v>288</v>
      </c>
      <c r="H474" s="535"/>
      <c r="I474" s="535"/>
      <c r="J474" s="535"/>
      <c r="K474" s="535">
        <f>CCBASE!$I$25*B474/1000</f>
        <v>916.7490499999999</v>
      </c>
      <c r="L474" s="535"/>
      <c r="M474" s="535"/>
      <c r="N474" s="535"/>
      <c r="O474" s="535"/>
      <c r="P474" s="534"/>
      <c r="Q474" s="534"/>
      <c r="R474" s="534"/>
      <c r="S474" s="534"/>
      <c r="T474" s="534"/>
      <c r="U474" s="535"/>
      <c r="V474" s="534"/>
      <c r="W474" s="534"/>
      <c r="X474" s="534"/>
      <c r="Y474" s="534"/>
      <c r="Z474" s="534"/>
      <c r="AA474" s="534"/>
      <c r="AB474" s="534"/>
      <c r="AC474" s="534"/>
      <c r="AD474" s="534"/>
    </row>
    <row r="475" spans="1:30" x14ac:dyDescent="0.2">
      <c r="A475" s="533" t="s">
        <v>1108</v>
      </c>
      <c r="B475" s="533">
        <v>2250</v>
      </c>
      <c r="C475" s="533">
        <v>2000</v>
      </c>
      <c r="D475" s="542" t="str">
        <f t="shared" si="16"/>
        <v>CXW22502000</v>
      </c>
      <c r="E475" s="907">
        <f t="shared" si="17"/>
        <v>1319.3426812499999</v>
      </c>
      <c r="F475" s="534">
        <v>8</v>
      </c>
      <c r="G475" s="535">
        <f>F475*CCBASE!$B$51</f>
        <v>288</v>
      </c>
      <c r="H475" s="535"/>
      <c r="I475" s="535"/>
      <c r="J475" s="535"/>
      <c r="K475" s="535">
        <f>CCBASE!$I$25*B475/1000</f>
        <v>1031.3426812499999</v>
      </c>
      <c r="L475" s="535"/>
      <c r="M475" s="535"/>
      <c r="N475" s="535"/>
      <c r="O475" s="535"/>
      <c r="P475" s="534"/>
      <c r="Q475" s="534"/>
      <c r="R475" s="534"/>
      <c r="S475" s="534"/>
      <c r="T475" s="534"/>
      <c r="U475" s="535"/>
      <c r="V475" s="534"/>
      <c r="W475" s="534"/>
      <c r="X475" s="534"/>
      <c r="Y475" s="534"/>
      <c r="Z475" s="534"/>
      <c r="AA475" s="534"/>
      <c r="AB475" s="534"/>
      <c r="AC475" s="534"/>
      <c r="AD475" s="534"/>
    </row>
    <row r="476" spans="1:30" x14ac:dyDescent="0.2">
      <c r="A476" s="533" t="s">
        <v>1108</v>
      </c>
      <c r="B476" s="533">
        <v>2500</v>
      </c>
      <c r="C476" s="533">
        <v>2000</v>
      </c>
      <c r="D476" s="542" t="str">
        <f t="shared" si="16"/>
        <v>CXW25002000</v>
      </c>
      <c r="E476" s="907">
        <f t="shared" si="17"/>
        <v>1433.9363124999998</v>
      </c>
      <c r="F476" s="534">
        <v>8</v>
      </c>
      <c r="G476" s="535">
        <f>F476*CCBASE!$B$51</f>
        <v>288</v>
      </c>
      <c r="H476" s="535"/>
      <c r="I476" s="535"/>
      <c r="J476" s="535"/>
      <c r="K476" s="535">
        <f>CCBASE!$I$25*B476/1000</f>
        <v>1145.9363124999998</v>
      </c>
      <c r="L476" s="535"/>
      <c r="M476" s="535"/>
      <c r="N476" s="535"/>
      <c r="O476" s="535"/>
      <c r="P476" s="534"/>
      <c r="Q476" s="534"/>
      <c r="R476" s="534"/>
      <c r="S476" s="534"/>
      <c r="T476" s="534"/>
      <c r="U476" s="535"/>
      <c r="V476" s="534"/>
      <c r="W476" s="534"/>
      <c r="X476" s="534"/>
      <c r="Y476" s="534"/>
      <c r="Z476" s="534"/>
      <c r="AA476" s="534"/>
      <c r="AB476" s="534"/>
      <c r="AC476" s="534"/>
      <c r="AD476" s="534"/>
    </row>
    <row r="477" spans="1:30" x14ac:dyDescent="0.2">
      <c r="A477" s="533" t="s">
        <v>1108</v>
      </c>
      <c r="B477" s="533">
        <v>2750</v>
      </c>
      <c r="C477" s="533">
        <v>2000</v>
      </c>
      <c r="D477" s="542" t="str">
        <f t="shared" si="16"/>
        <v>CXW27502000</v>
      </c>
      <c r="E477" s="907">
        <f t="shared" si="17"/>
        <v>1548.5299437499998</v>
      </c>
      <c r="F477" s="534">
        <v>8</v>
      </c>
      <c r="G477" s="535">
        <f>F477*CCBASE!$B$51</f>
        <v>288</v>
      </c>
      <c r="H477" s="535"/>
      <c r="I477" s="535"/>
      <c r="J477" s="535"/>
      <c r="K477" s="535">
        <f>CCBASE!$I$25*B477/1000</f>
        <v>1260.5299437499998</v>
      </c>
      <c r="L477" s="535"/>
      <c r="M477" s="535"/>
      <c r="N477" s="535"/>
      <c r="O477" s="535"/>
      <c r="P477" s="534"/>
      <c r="Q477" s="534"/>
      <c r="R477" s="534"/>
      <c r="S477" s="534"/>
      <c r="T477" s="534"/>
      <c r="U477" s="535"/>
      <c r="V477" s="534"/>
      <c r="W477" s="534"/>
      <c r="X477" s="534"/>
      <c r="Y477" s="534"/>
      <c r="Z477" s="534"/>
      <c r="AA477" s="534"/>
      <c r="AB477" s="534"/>
      <c r="AC477" s="534"/>
      <c r="AD477" s="534"/>
    </row>
    <row r="478" spans="1:30" x14ac:dyDescent="0.2">
      <c r="A478" s="533" t="s">
        <v>1108</v>
      </c>
      <c r="B478" s="533">
        <v>3000</v>
      </c>
      <c r="C478" s="533">
        <v>2000</v>
      </c>
      <c r="D478" s="542" t="str">
        <f t="shared" si="16"/>
        <v>CXW30002000</v>
      </c>
      <c r="E478" s="907">
        <f t="shared" si="17"/>
        <v>1663.1235749999998</v>
      </c>
      <c r="F478" s="534">
        <v>8</v>
      </c>
      <c r="G478" s="535">
        <f>F478*CCBASE!$B$51</f>
        <v>288</v>
      </c>
      <c r="H478" s="535"/>
      <c r="I478" s="535"/>
      <c r="J478" s="535"/>
      <c r="K478" s="535">
        <f>CCBASE!$I$25*B478/1000</f>
        <v>1375.1235749999998</v>
      </c>
      <c r="L478" s="535"/>
      <c r="M478" s="535"/>
      <c r="N478" s="535"/>
      <c r="O478" s="535"/>
      <c r="P478" s="534"/>
      <c r="Q478" s="534"/>
      <c r="R478" s="534"/>
      <c r="S478" s="534"/>
      <c r="T478" s="534"/>
      <c r="U478" s="535"/>
      <c r="V478" s="534"/>
      <c r="W478" s="534"/>
      <c r="X478" s="534"/>
      <c r="Y478" s="534"/>
      <c r="Z478" s="534"/>
      <c r="AA478" s="534"/>
      <c r="AB478" s="534"/>
      <c r="AC478" s="534"/>
      <c r="AD478" s="534"/>
    </row>
    <row r="479" spans="1:30" x14ac:dyDescent="0.2">
      <c r="A479" s="533" t="s">
        <v>1113</v>
      </c>
      <c r="B479" s="533">
        <v>1000</v>
      </c>
      <c r="C479" s="533">
        <v>1000</v>
      </c>
      <c r="D479" s="542" t="str">
        <f t="shared" si="16"/>
        <v>CXW-M10001000</v>
      </c>
      <c r="E479" s="907">
        <f t="shared" si="17"/>
        <v>797.41089600000009</v>
      </c>
      <c r="F479" s="534">
        <v>15</v>
      </c>
      <c r="G479" s="535">
        <f>F479*CCBASE!$B$51</f>
        <v>540</v>
      </c>
      <c r="H479" s="535"/>
      <c r="I479" s="535"/>
      <c r="J479" s="535"/>
      <c r="K479" s="535">
        <f>CCBASE!$I$21*B479/1000</f>
        <v>218.83687000000003</v>
      </c>
      <c r="L479" s="535"/>
      <c r="M479" s="535"/>
      <c r="N479" s="535">
        <f>(CCBASE!$I$7*B272/1000*C272/1000)*0.45</f>
        <v>14.194026000000001</v>
      </c>
      <c r="O479" s="535">
        <f>CCBASE!$I$45*B479/1000</f>
        <v>9.9700000000000006</v>
      </c>
      <c r="P479" s="534"/>
      <c r="Q479" s="534"/>
      <c r="R479" s="534"/>
      <c r="S479" s="534"/>
      <c r="T479" s="534"/>
      <c r="U479" s="540">
        <f>CCBASE!$I$47</f>
        <v>14.41</v>
      </c>
      <c r="V479" s="534"/>
      <c r="W479" s="534"/>
      <c r="X479" s="534"/>
      <c r="Y479" s="534"/>
      <c r="Z479" s="534"/>
      <c r="AA479" s="534"/>
      <c r="AB479" s="534"/>
      <c r="AC479" s="534"/>
      <c r="AD479" s="534"/>
    </row>
    <row r="480" spans="1:30" x14ac:dyDescent="0.2">
      <c r="A480" s="533" t="s">
        <v>1113</v>
      </c>
      <c r="B480" s="533">
        <v>1250</v>
      </c>
      <c r="C480" s="533">
        <v>1000</v>
      </c>
      <c r="D480" s="542" t="str">
        <f t="shared" ref="D480:D543" si="18">$A480&amp;B480&amp;C480</f>
        <v>CXW-M12501000</v>
      </c>
      <c r="E480" s="907">
        <f t="shared" si="17"/>
        <v>858.16111999999998</v>
      </c>
      <c r="F480" s="534">
        <v>15</v>
      </c>
      <c r="G480" s="535">
        <f>F480*CCBASE!$B$51</f>
        <v>540</v>
      </c>
      <c r="H480" s="535"/>
      <c r="I480" s="535"/>
      <c r="J480" s="535"/>
      <c r="K480" s="535">
        <f>CCBASE!$I$21*B480/1000</f>
        <v>273.5460875</v>
      </c>
      <c r="L480" s="535"/>
      <c r="M480" s="535"/>
      <c r="N480" s="535">
        <f>(CCBASE!$I$7*B273/1000*C273/1000)*0.45</f>
        <v>17.742532499999999</v>
      </c>
      <c r="O480" s="535">
        <f>CCBASE!$I$45*B480/1000</f>
        <v>12.4625</v>
      </c>
      <c r="P480" s="534"/>
      <c r="Q480" s="534"/>
      <c r="R480" s="534"/>
      <c r="S480" s="534"/>
      <c r="T480" s="534"/>
      <c r="U480" s="540">
        <f>CCBASE!$I$47</f>
        <v>14.41</v>
      </c>
      <c r="V480" s="534"/>
      <c r="W480" s="534"/>
      <c r="X480" s="534"/>
      <c r="Y480" s="534"/>
      <c r="Z480" s="534"/>
      <c r="AA480" s="534"/>
      <c r="AB480" s="534"/>
      <c r="AC480" s="534"/>
      <c r="AD480" s="534"/>
    </row>
    <row r="481" spans="1:30" x14ac:dyDescent="0.2">
      <c r="A481" s="533" t="s">
        <v>1113</v>
      </c>
      <c r="B481" s="533">
        <v>1500</v>
      </c>
      <c r="C481" s="533">
        <v>1000</v>
      </c>
      <c r="D481" s="542" t="str">
        <f t="shared" si="18"/>
        <v>CXW-M15001000</v>
      </c>
      <c r="E481" s="907">
        <f t="shared" si="17"/>
        <v>918.9113440000001</v>
      </c>
      <c r="F481" s="534">
        <v>15</v>
      </c>
      <c r="G481" s="535">
        <f>F481*CCBASE!$B$51</f>
        <v>540</v>
      </c>
      <c r="H481" s="535"/>
      <c r="I481" s="535"/>
      <c r="J481" s="535"/>
      <c r="K481" s="535">
        <f>CCBASE!$I$21*B481/1000</f>
        <v>328.25530500000008</v>
      </c>
      <c r="L481" s="535"/>
      <c r="M481" s="535"/>
      <c r="N481" s="535">
        <f>(CCBASE!$I$7*B274/1000*C274/1000)*0.45</f>
        <v>21.291039000000005</v>
      </c>
      <c r="O481" s="535">
        <f>CCBASE!$I$45*B481/1000</f>
        <v>14.955000000000002</v>
      </c>
      <c r="P481" s="534"/>
      <c r="Q481" s="534"/>
      <c r="R481" s="534"/>
      <c r="S481" s="534"/>
      <c r="T481" s="534"/>
      <c r="U481" s="540">
        <f>CCBASE!$I$47</f>
        <v>14.41</v>
      </c>
      <c r="V481" s="534"/>
      <c r="W481" s="534"/>
      <c r="X481" s="534"/>
      <c r="Y481" s="534"/>
      <c r="Z481" s="534"/>
      <c r="AA481" s="534"/>
      <c r="AB481" s="534"/>
      <c r="AC481" s="534"/>
      <c r="AD481" s="534"/>
    </row>
    <row r="482" spans="1:30" x14ac:dyDescent="0.2">
      <c r="A482" s="533" t="s">
        <v>1113</v>
      </c>
      <c r="B482" s="533">
        <v>1750</v>
      </c>
      <c r="C482" s="533">
        <v>1000</v>
      </c>
      <c r="D482" s="542" t="str">
        <f t="shared" si="18"/>
        <v>CXW-M17501000</v>
      </c>
      <c r="E482" s="907">
        <f t="shared" si="17"/>
        <v>1015.6615680000001</v>
      </c>
      <c r="F482" s="534">
        <v>16</v>
      </c>
      <c r="G482" s="535">
        <f>F482*CCBASE!$B$51</f>
        <v>576</v>
      </c>
      <c r="H482" s="535"/>
      <c r="I482" s="535"/>
      <c r="J482" s="535"/>
      <c r="K482" s="535">
        <f>CCBASE!$I$21*B482/1000</f>
        <v>382.9645225000001</v>
      </c>
      <c r="L482" s="535"/>
      <c r="M482" s="535"/>
      <c r="N482" s="535">
        <f>(CCBASE!$I$7*B275/1000*C275/1000)*0.45</f>
        <v>24.8395455</v>
      </c>
      <c r="O482" s="535">
        <f>CCBASE!$I$45*B482/1000</f>
        <v>17.447500000000002</v>
      </c>
      <c r="P482" s="534"/>
      <c r="Q482" s="534"/>
      <c r="R482" s="534"/>
      <c r="S482" s="534"/>
      <c r="T482" s="534"/>
      <c r="U482" s="540">
        <f>CCBASE!$I$47</f>
        <v>14.41</v>
      </c>
      <c r="V482" s="534"/>
      <c r="W482" s="534"/>
      <c r="X482" s="534"/>
      <c r="Y482" s="534"/>
      <c r="Z482" s="534"/>
      <c r="AA482" s="534"/>
      <c r="AB482" s="534"/>
      <c r="AC482" s="534"/>
      <c r="AD482" s="534"/>
    </row>
    <row r="483" spans="1:30" x14ac:dyDescent="0.2">
      <c r="A483" s="533" t="s">
        <v>1113</v>
      </c>
      <c r="B483" s="533">
        <v>2000</v>
      </c>
      <c r="C483" s="533">
        <v>1000</v>
      </c>
      <c r="D483" s="542" t="str">
        <f t="shared" si="18"/>
        <v>CXW-M20001000</v>
      </c>
      <c r="E483" s="907">
        <f t="shared" si="17"/>
        <v>1076.4117920000001</v>
      </c>
      <c r="F483" s="534">
        <v>16</v>
      </c>
      <c r="G483" s="535">
        <f>F483*CCBASE!$B$51</f>
        <v>576</v>
      </c>
      <c r="H483" s="535"/>
      <c r="I483" s="535"/>
      <c r="J483" s="535"/>
      <c r="K483" s="535">
        <f>CCBASE!$I$21*B483/1000</f>
        <v>437.67374000000007</v>
      </c>
      <c r="L483" s="535"/>
      <c r="M483" s="535"/>
      <c r="N483" s="535">
        <f>(CCBASE!$I$7*B276/1000*C276/1000)*0.45</f>
        <v>28.388052000000002</v>
      </c>
      <c r="O483" s="535">
        <f>CCBASE!$I$45*B483/1000</f>
        <v>19.940000000000001</v>
      </c>
      <c r="P483" s="534"/>
      <c r="Q483" s="534"/>
      <c r="R483" s="534"/>
      <c r="S483" s="534"/>
      <c r="T483" s="534"/>
      <c r="U483" s="540">
        <f>CCBASE!$I$47</f>
        <v>14.41</v>
      </c>
      <c r="V483" s="534"/>
      <c r="W483" s="534"/>
      <c r="X483" s="534"/>
      <c r="Y483" s="534"/>
      <c r="Z483" s="534"/>
      <c r="AA483" s="534"/>
      <c r="AB483" s="534"/>
      <c r="AC483" s="534"/>
      <c r="AD483" s="534"/>
    </row>
    <row r="484" spans="1:30" x14ac:dyDescent="0.2">
      <c r="A484" s="533" t="s">
        <v>1113</v>
      </c>
      <c r="B484" s="533">
        <v>2250</v>
      </c>
      <c r="C484" s="533">
        <v>1000</v>
      </c>
      <c r="D484" s="542" t="str">
        <f t="shared" si="18"/>
        <v>CXW-M22501000</v>
      </c>
      <c r="E484" s="907">
        <f t="shared" si="17"/>
        <v>1151.5720159999998</v>
      </c>
      <c r="F484" s="534">
        <v>16</v>
      </c>
      <c r="G484" s="535">
        <f>F484*CCBASE!$B$51</f>
        <v>576</v>
      </c>
      <c r="H484" s="535"/>
      <c r="I484" s="535"/>
      <c r="J484" s="535"/>
      <c r="K484" s="535">
        <f>CCBASE!$I$21*B484/1000</f>
        <v>492.38295750000009</v>
      </c>
      <c r="L484" s="535"/>
      <c r="M484" s="535"/>
      <c r="N484" s="535">
        <f>(CCBASE!$I$7*B277/1000*C277/1000)*0.45</f>
        <v>31.936558500000007</v>
      </c>
      <c r="O484" s="535">
        <f>CCBASE!$I$45*B484/1000</f>
        <v>22.432500000000001</v>
      </c>
      <c r="P484" s="534"/>
      <c r="Q484" s="534"/>
      <c r="R484" s="534"/>
      <c r="S484" s="534"/>
      <c r="T484" s="534"/>
      <c r="U484" s="540">
        <f>CCBASE!$I$47*2</f>
        <v>28.82</v>
      </c>
      <c r="V484" s="534"/>
      <c r="W484" s="534"/>
      <c r="X484" s="534"/>
      <c r="Y484" s="534"/>
      <c r="Z484" s="534"/>
      <c r="AA484" s="534"/>
      <c r="AB484" s="534"/>
      <c r="AC484" s="534"/>
      <c r="AD484" s="534"/>
    </row>
    <row r="485" spans="1:30" x14ac:dyDescent="0.2">
      <c r="A485" s="533" t="s">
        <v>1113</v>
      </c>
      <c r="B485" s="533">
        <v>2500</v>
      </c>
      <c r="C485" s="533">
        <v>1000</v>
      </c>
      <c r="D485" s="542" t="str">
        <f t="shared" si="18"/>
        <v>CXW-M25001000</v>
      </c>
      <c r="E485" s="907">
        <f t="shared" si="17"/>
        <v>1212.32224</v>
      </c>
      <c r="F485" s="534">
        <v>16</v>
      </c>
      <c r="G485" s="535">
        <f>F485*CCBASE!$B$51</f>
        <v>576</v>
      </c>
      <c r="H485" s="535"/>
      <c r="I485" s="535"/>
      <c r="J485" s="535"/>
      <c r="K485" s="535">
        <f>CCBASE!$I$21*B485/1000</f>
        <v>547.092175</v>
      </c>
      <c r="L485" s="535"/>
      <c r="M485" s="535"/>
      <c r="N485" s="535">
        <f>(CCBASE!$I$7*B278/1000*C278/1000)*0.45</f>
        <v>35.485064999999999</v>
      </c>
      <c r="O485" s="535">
        <f>CCBASE!$I$45*B485/1000</f>
        <v>24.925000000000001</v>
      </c>
      <c r="P485" s="534"/>
      <c r="Q485" s="534"/>
      <c r="R485" s="534"/>
      <c r="S485" s="534"/>
      <c r="T485" s="534"/>
      <c r="U485" s="540">
        <f>CCBASE!$I$47*2</f>
        <v>28.82</v>
      </c>
      <c r="V485" s="534"/>
      <c r="W485" s="534"/>
      <c r="X485" s="534"/>
      <c r="Y485" s="534"/>
      <c r="Z485" s="534"/>
      <c r="AA485" s="534"/>
      <c r="AB485" s="534"/>
      <c r="AC485" s="534"/>
      <c r="AD485" s="534"/>
    </row>
    <row r="486" spans="1:30" x14ac:dyDescent="0.2">
      <c r="A486" s="533" t="s">
        <v>1113</v>
      </c>
      <c r="B486" s="533">
        <v>2750</v>
      </c>
      <c r="C486" s="533">
        <v>1000</v>
      </c>
      <c r="D486" s="542" t="str">
        <f t="shared" si="18"/>
        <v>CXW-M27501000</v>
      </c>
      <c r="E486" s="907">
        <f t="shared" si="17"/>
        <v>1273.0724640000001</v>
      </c>
      <c r="F486" s="534">
        <v>16</v>
      </c>
      <c r="G486" s="535">
        <f>F486*CCBASE!$B$51</f>
        <v>576</v>
      </c>
      <c r="H486" s="535"/>
      <c r="I486" s="535"/>
      <c r="J486" s="535"/>
      <c r="K486" s="535">
        <f>CCBASE!$I$21*B486/1000</f>
        <v>601.80139250000002</v>
      </c>
      <c r="L486" s="535"/>
      <c r="M486" s="535"/>
      <c r="N486" s="535">
        <f>(CCBASE!$I$7*B279/1000*C279/1000)*0.45</f>
        <v>39.033571500000001</v>
      </c>
      <c r="O486" s="535">
        <f>CCBASE!$I$45*B486/1000</f>
        <v>27.4175</v>
      </c>
      <c r="P486" s="534"/>
      <c r="Q486" s="534"/>
      <c r="R486" s="534"/>
      <c r="S486" s="534"/>
      <c r="T486" s="534"/>
      <c r="U486" s="540">
        <f>CCBASE!$I$47*2</f>
        <v>28.82</v>
      </c>
      <c r="V486" s="534"/>
      <c r="W486" s="534"/>
      <c r="X486" s="534"/>
      <c r="Y486" s="534"/>
      <c r="Z486" s="534"/>
      <c r="AA486" s="534"/>
      <c r="AB486" s="534"/>
      <c r="AC486" s="534"/>
      <c r="AD486" s="534"/>
    </row>
    <row r="487" spans="1:30" x14ac:dyDescent="0.2">
      <c r="A487" s="533" t="s">
        <v>1113</v>
      </c>
      <c r="B487" s="533">
        <v>3000</v>
      </c>
      <c r="C487" s="533">
        <v>1000</v>
      </c>
      <c r="D487" s="542" t="str">
        <f t="shared" si="18"/>
        <v>CXW-M30001000</v>
      </c>
      <c r="E487" s="907">
        <f t="shared" si="17"/>
        <v>1333.8226880000002</v>
      </c>
      <c r="F487" s="534">
        <v>16</v>
      </c>
      <c r="G487" s="535">
        <f>F487*CCBASE!$B$51</f>
        <v>576</v>
      </c>
      <c r="H487" s="535"/>
      <c r="I487" s="535"/>
      <c r="J487" s="535"/>
      <c r="K487" s="535">
        <f>CCBASE!$I$21*B487/1000</f>
        <v>656.51061000000016</v>
      </c>
      <c r="L487" s="535"/>
      <c r="M487" s="535"/>
      <c r="N487" s="535">
        <f>(CCBASE!$I$7*B280/1000*C280/1000)*0.45</f>
        <v>42.58207800000001</v>
      </c>
      <c r="O487" s="535">
        <f>CCBASE!$I$45*B487/1000</f>
        <v>29.910000000000004</v>
      </c>
      <c r="P487" s="534"/>
      <c r="Q487" s="534"/>
      <c r="R487" s="534"/>
      <c r="S487" s="534"/>
      <c r="T487" s="534"/>
      <c r="U487" s="540">
        <f>CCBASE!$I$47*2</f>
        <v>28.82</v>
      </c>
      <c r="V487" s="534"/>
      <c r="W487" s="534"/>
      <c r="X487" s="534"/>
      <c r="Y487" s="534"/>
      <c r="Z487" s="534"/>
      <c r="AA487" s="534"/>
      <c r="AB487" s="534"/>
      <c r="AC487" s="534"/>
      <c r="AD487" s="534"/>
    </row>
    <row r="488" spans="1:30" x14ac:dyDescent="0.2">
      <c r="A488" s="533" t="s">
        <v>1113</v>
      </c>
      <c r="B488" s="533">
        <v>1000</v>
      </c>
      <c r="C488" s="533">
        <v>1250</v>
      </c>
      <c r="D488" s="542" t="str">
        <f t="shared" si="18"/>
        <v>CXW-M10001250</v>
      </c>
      <c r="E488" s="907">
        <f t="shared" si="17"/>
        <v>830.53195249999999</v>
      </c>
      <c r="F488" s="534">
        <v>15</v>
      </c>
      <c r="G488" s="535">
        <f>F488*CCBASE!$B$51</f>
        <v>540</v>
      </c>
      <c r="H488" s="535"/>
      <c r="I488" s="535"/>
      <c r="J488" s="535"/>
      <c r="K488" s="535">
        <f>CCBASE!$I$22*B488/1000</f>
        <v>248.40942000000001</v>
      </c>
      <c r="L488" s="535"/>
      <c r="M488" s="535"/>
      <c r="N488" s="535">
        <f>(CCBASE!$I$7*B281/1000*C281/1000)*0.45</f>
        <v>17.742532499999999</v>
      </c>
      <c r="O488" s="535">
        <f>CCBASE!$I$45*B488/1000</f>
        <v>9.9700000000000006</v>
      </c>
      <c r="P488" s="534"/>
      <c r="Q488" s="534"/>
      <c r="R488" s="534"/>
      <c r="S488" s="534"/>
      <c r="T488" s="534"/>
      <c r="U488" s="540">
        <f>CCBASE!$I$47</f>
        <v>14.41</v>
      </c>
      <c r="V488" s="534"/>
      <c r="W488" s="534"/>
      <c r="X488" s="534"/>
      <c r="Y488" s="534"/>
      <c r="Z488" s="534"/>
      <c r="AA488" s="534"/>
      <c r="AB488" s="534"/>
      <c r="AC488" s="534"/>
      <c r="AD488" s="534"/>
    </row>
    <row r="489" spans="1:30" x14ac:dyDescent="0.2">
      <c r="A489" s="533" t="s">
        <v>1113</v>
      </c>
      <c r="B489" s="533">
        <v>1250</v>
      </c>
      <c r="C489" s="533">
        <v>1250</v>
      </c>
      <c r="D489" s="542" t="str">
        <f t="shared" si="18"/>
        <v>CXW-M12501250</v>
      </c>
      <c r="E489" s="907">
        <f t="shared" si="17"/>
        <v>899.56244062499991</v>
      </c>
      <c r="F489" s="534">
        <v>15</v>
      </c>
      <c r="G489" s="535">
        <f>F489*CCBASE!$B$51</f>
        <v>540</v>
      </c>
      <c r="H489" s="535"/>
      <c r="I489" s="535"/>
      <c r="J489" s="535"/>
      <c r="K489" s="535">
        <f>CCBASE!$I$22*B489/1000</f>
        <v>310.511775</v>
      </c>
      <c r="L489" s="535"/>
      <c r="M489" s="535"/>
      <c r="N489" s="535">
        <f>(CCBASE!$I$7*B282/1000*C282/1000)*0.45</f>
        <v>22.178165625000002</v>
      </c>
      <c r="O489" s="535">
        <f>CCBASE!$I$45*B489/1000</f>
        <v>12.4625</v>
      </c>
      <c r="P489" s="534"/>
      <c r="Q489" s="534"/>
      <c r="R489" s="534"/>
      <c r="S489" s="534"/>
      <c r="T489" s="534"/>
      <c r="U489" s="540">
        <f>CCBASE!$I$47</f>
        <v>14.41</v>
      </c>
      <c r="V489" s="534"/>
      <c r="W489" s="534"/>
      <c r="X489" s="534"/>
      <c r="Y489" s="534"/>
      <c r="Z489" s="534"/>
      <c r="AA489" s="534"/>
      <c r="AB489" s="534"/>
      <c r="AC489" s="534"/>
      <c r="AD489" s="534"/>
    </row>
    <row r="490" spans="1:30" x14ac:dyDescent="0.2">
      <c r="A490" s="533" t="s">
        <v>1113</v>
      </c>
      <c r="B490" s="533">
        <v>1500</v>
      </c>
      <c r="C490" s="533">
        <v>1250</v>
      </c>
      <c r="D490" s="542" t="str">
        <f t="shared" si="18"/>
        <v>CXW-M15001250</v>
      </c>
      <c r="E490" s="907">
        <f t="shared" si="17"/>
        <v>968.59292874999994</v>
      </c>
      <c r="F490" s="534">
        <v>15</v>
      </c>
      <c r="G490" s="535">
        <f>F490*CCBASE!$B$51</f>
        <v>540</v>
      </c>
      <c r="H490" s="535"/>
      <c r="I490" s="535"/>
      <c r="J490" s="535"/>
      <c r="K490" s="535">
        <f>CCBASE!$I$22*B490/1000</f>
        <v>372.61412999999999</v>
      </c>
      <c r="L490" s="535"/>
      <c r="M490" s="535"/>
      <c r="N490" s="535">
        <f>(CCBASE!$I$7*B283/1000*C283/1000)*0.45</f>
        <v>26.613798750000004</v>
      </c>
      <c r="O490" s="535">
        <f>CCBASE!$I$45*B490/1000</f>
        <v>14.955000000000002</v>
      </c>
      <c r="P490" s="534"/>
      <c r="Q490" s="534"/>
      <c r="R490" s="534"/>
      <c r="S490" s="534"/>
      <c r="T490" s="534"/>
      <c r="U490" s="540">
        <f>CCBASE!$I$47</f>
        <v>14.41</v>
      </c>
      <c r="V490" s="534"/>
      <c r="W490" s="534"/>
      <c r="X490" s="534"/>
      <c r="Y490" s="534"/>
      <c r="Z490" s="534"/>
      <c r="AA490" s="534"/>
      <c r="AB490" s="534"/>
      <c r="AC490" s="534"/>
      <c r="AD490" s="534"/>
    </row>
    <row r="491" spans="1:30" x14ac:dyDescent="0.2">
      <c r="A491" s="533" t="s">
        <v>1113</v>
      </c>
      <c r="B491" s="533">
        <v>1750</v>
      </c>
      <c r="C491" s="533">
        <v>1250</v>
      </c>
      <c r="D491" s="542" t="str">
        <f t="shared" si="18"/>
        <v>CXW-M17501250</v>
      </c>
      <c r="E491" s="907">
        <f t="shared" si="17"/>
        <v>1073.6234168750002</v>
      </c>
      <c r="F491" s="534">
        <v>16</v>
      </c>
      <c r="G491" s="535">
        <f>F491*CCBASE!$B$51</f>
        <v>576</v>
      </c>
      <c r="H491" s="535"/>
      <c r="I491" s="535"/>
      <c r="J491" s="535"/>
      <c r="K491" s="535">
        <f>CCBASE!$I$22*B491/1000</f>
        <v>434.71648500000003</v>
      </c>
      <c r="L491" s="535"/>
      <c r="M491" s="535"/>
      <c r="N491" s="535">
        <f>(CCBASE!$I$7*B284/1000*C284/1000)*0.45</f>
        <v>31.049431875000003</v>
      </c>
      <c r="O491" s="535">
        <f>CCBASE!$I$45*B491/1000</f>
        <v>17.447500000000002</v>
      </c>
      <c r="P491" s="534"/>
      <c r="Q491" s="534"/>
      <c r="R491" s="534"/>
      <c r="S491" s="534"/>
      <c r="T491" s="534"/>
      <c r="U491" s="540">
        <f>CCBASE!$I$47</f>
        <v>14.41</v>
      </c>
      <c r="V491" s="534"/>
      <c r="W491" s="534"/>
      <c r="X491" s="534"/>
      <c r="Y491" s="534"/>
      <c r="Z491" s="534"/>
      <c r="AA491" s="534"/>
      <c r="AB491" s="534"/>
      <c r="AC491" s="534"/>
      <c r="AD491" s="534"/>
    </row>
    <row r="492" spans="1:30" x14ac:dyDescent="0.2">
      <c r="A492" s="533" t="s">
        <v>1113</v>
      </c>
      <c r="B492" s="533">
        <v>2000</v>
      </c>
      <c r="C492" s="533">
        <v>1250</v>
      </c>
      <c r="D492" s="542" t="str">
        <f t="shared" si="18"/>
        <v>CXW-M20001250</v>
      </c>
      <c r="E492" s="907">
        <f t="shared" si="17"/>
        <v>1142.6539050000001</v>
      </c>
      <c r="F492" s="534">
        <v>16</v>
      </c>
      <c r="G492" s="535">
        <f>F492*CCBASE!$B$51</f>
        <v>576</v>
      </c>
      <c r="H492" s="535"/>
      <c r="I492" s="535"/>
      <c r="J492" s="535"/>
      <c r="K492" s="535">
        <f>CCBASE!$I$22*B492/1000</f>
        <v>496.81884000000002</v>
      </c>
      <c r="L492" s="535"/>
      <c r="M492" s="535"/>
      <c r="N492" s="535">
        <f>(CCBASE!$I$7*B285/1000*C285/1000)*0.45</f>
        <v>35.485064999999999</v>
      </c>
      <c r="O492" s="535">
        <f>CCBASE!$I$45*B492/1000</f>
        <v>19.940000000000001</v>
      </c>
      <c r="P492" s="534"/>
      <c r="Q492" s="534"/>
      <c r="R492" s="534"/>
      <c r="S492" s="534"/>
      <c r="T492" s="534"/>
      <c r="U492" s="540">
        <f>CCBASE!$I$47</f>
        <v>14.41</v>
      </c>
      <c r="V492" s="534"/>
      <c r="W492" s="534"/>
      <c r="X492" s="534"/>
      <c r="Y492" s="534"/>
      <c r="Z492" s="534"/>
      <c r="AA492" s="534"/>
      <c r="AB492" s="534"/>
      <c r="AC492" s="534"/>
      <c r="AD492" s="534"/>
    </row>
    <row r="493" spans="1:30" x14ac:dyDescent="0.2">
      <c r="A493" s="533" t="s">
        <v>1113</v>
      </c>
      <c r="B493" s="533">
        <v>2250</v>
      </c>
      <c r="C493" s="533">
        <v>1250</v>
      </c>
      <c r="D493" s="542" t="str">
        <f t="shared" si="18"/>
        <v>CXW-M22501250</v>
      </c>
      <c r="E493" s="907">
        <f t="shared" si="17"/>
        <v>1226.0943931249997</v>
      </c>
      <c r="F493" s="534">
        <v>16</v>
      </c>
      <c r="G493" s="535">
        <f>F493*CCBASE!$B$51</f>
        <v>576</v>
      </c>
      <c r="H493" s="535"/>
      <c r="I493" s="535"/>
      <c r="J493" s="535"/>
      <c r="K493" s="535">
        <f>CCBASE!$I$22*B493/1000</f>
        <v>558.92119500000001</v>
      </c>
      <c r="L493" s="535"/>
      <c r="M493" s="535"/>
      <c r="N493" s="535">
        <f>(CCBASE!$I$7*B286/1000*C286/1000)*0.45</f>
        <v>39.920698125000008</v>
      </c>
      <c r="O493" s="535">
        <f>CCBASE!$I$45*B493/1000</f>
        <v>22.432500000000001</v>
      </c>
      <c r="P493" s="534"/>
      <c r="Q493" s="534"/>
      <c r="R493" s="534"/>
      <c r="S493" s="534"/>
      <c r="T493" s="534"/>
      <c r="U493" s="540">
        <f>CCBASE!$I$47*2</f>
        <v>28.82</v>
      </c>
      <c r="V493" s="534"/>
      <c r="W493" s="534"/>
      <c r="X493" s="534"/>
      <c r="Y493" s="534"/>
      <c r="Z493" s="534"/>
      <c r="AA493" s="534"/>
      <c r="AB493" s="534"/>
      <c r="AC493" s="534"/>
      <c r="AD493" s="534"/>
    </row>
    <row r="494" spans="1:30" x14ac:dyDescent="0.2">
      <c r="A494" s="533" t="s">
        <v>1113</v>
      </c>
      <c r="B494" s="533">
        <v>2500</v>
      </c>
      <c r="C494" s="533">
        <v>1250</v>
      </c>
      <c r="D494" s="542" t="str">
        <f t="shared" si="18"/>
        <v>CXW-M25001250</v>
      </c>
      <c r="E494" s="907">
        <f t="shared" si="17"/>
        <v>1295.1248812499998</v>
      </c>
      <c r="F494" s="534">
        <v>16</v>
      </c>
      <c r="G494" s="535">
        <f>F494*CCBASE!$B$51</f>
        <v>576</v>
      </c>
      <c r="H494" s="535"/>
      <c r="I494" s="535"/>
      <c r="J494" s="535"/>
      <c r="K494" s="535">
        <f>CCBASE!$I$22*B494/1000</f>
        <v>621.02355</v>
      </c>
      <c r="L494" s="535"/>
      <c r="M494" s="535"/>
      <c r="N494" s="535">
        <f>(CCBASE!$I$7*B287/1000*C287/1000)*0.45</f>
        <v>44.356331250000004</v>
      </c>
      <c r="O494" s="535">
        <f>CCBASE!$I$45*B494/1000</f>
        <v>24.925000000000001</v>
      </c>
      <c r="P494" s="534"/>
      <c r="Q494" s="534"/>
      <c r="R494" s="534"/>
      <c r="S494" s="534"/>
      <c r="T494" s="534"/>
      <c r="U494" s="540">
        <f>CCBASE!$I$47*2</f>
        <v>28.82</v>
      </c>
      <c r="V494" s="534"/>
      <c r="W494" s="534"/>
      <c r="X494" s="534"/>
      <c r="Y494" s="534"/>
      <c r="Z494" s="534"/>
      <c r="AA494" s="534"/>
      <c r="AB494" s="534"/>
      <c r="AC494" s="534"/>
      <c r="AD494" s="534"/>
    </row>
    <row r="495" spans="1:30" x14ac:dyDescent="0.2">
      <c r="A495" s="533" t="s">
        <v>1113</v>
      </c>
      <c r="B495" s="533">
        <v>2750</v>
      </c>
      <c r="C495" s="533">
        <v>1250</v>
      </c>
      <c r="D495" s="542" t="str">
        <f t="shared" si="18"/>
        <v>CXW-M27501250</v>
      </c>
      <c r="E495" s="907">
        <f t="shared" si="17"/>
        <v>1364.1553693749997</v>
      </c>
      <c r="F495" s="534">
        <v>16</v>
      </c>
      <c r="G495" s="535">
        <f>F495*CCBASE!$B$51</f>
        <v>576</v>
      </c>
      <c r="H495" s="535"/>
      <c r="I495" s="535"/>
      <c r="J495" s="535"/>
      <c r="K495" s="535">
        <f>CCBASE!$I$22*B495/1000</f>
        <v>683.12590499999999</v>
      </c>
      <c r="L495" s="535"/>
      <c r="M495" s="535"/>
      <c r="N495" s="535">
        <f>(CCBASE!$I$7*B288/1000*C288/1000)*0.45</f>
        <v>48.791964374999999</v>
      </c>
      <c r="O495" s="535">
        <f>CCBASE!$I$45*B495/1000</f>
        <v>27.4175</v>
      </c>
      <c r="P495" s="534"/>
      <c r="Q495" s="534"/>
      <c r="R495" s="534"/>
      <c r="S495" s="534"/>
      <c r="T495" s="534"/>
      <c r="U495" s="540">
        <f>CCBASE!$I$47*2</f>
        <v>28.82</v>
      </c>
      <c r="V495" s="534"/>
      <c r="W495" s="534"/>
      <c r="X495" s="534"/>
      <c r="Y495" s="534"/>
      <c r="Z495" s="534"/>
      <c r="AA495" s="534"/>
      <c r="AB495" s="534"/>
      <c r="AC495" s="534"/>
      <c r="AD495" s="534"/>
    </row>
    <row r="496" spans="1:30" x14ac:dyDescent="0.2">
      <c r="A496" s="533" t="s">
        <v>1113</v>
      </c>
      <c r="B496" s="533">
        <v>3000</v>
      </c>
      <c r="C496" s="533">
        <v>1250</v>
      </c>
      <c r="D496" s="542" t="str">
        <f t="shared" si="18"/>
        <v>CXW-M30001250</v>
      </c>
      <c r="E496" s="907">
        <f t="shared" si="17"/>
        <v>1433.1858574999999</v>
      </c>
      <c r="F496" s="534">
        <v>16</v>
      </c>
      <c r="G496" s="535">
        <f>F496*CCBASE!$B$51</f>
        <v>576</v>
      </c>
      <c r="H496" s="535"/>
      <c r="I496" s="535"/>
      <c r="J496" s="535"/>
      <c r="K496" s="535">
        <f>CCBASE!$I$22*B496/1000</f>
        <v>745.22825999999998</v>
      </c>
      <c r="L496" s="535"/>
      <c r="M496" s="535"/>
      <c r="N496" s="535">
        <f>(CCBASE!$I$7*B289/1000*C289/1000)*0.45</f>
        <v>53.227597500000009</v>
      </c>
      <c r="O496" s="535">
        <f>CCBASE!$I$45*B496/1000</f>
        <v>29.910000000000004</v>
      </c>
      <c r="P496" s="534"/>
      <c r="Q496" s="534"/>
      <c r="R496" s="534"/>
      <c r="S496" s="534"/>
      <c r="T496" s="534"/>
      <c r="U496" s="540">
        <f>CCBASE!$I$47*2</f>
        <v>28.82</v>
      </c>
      <c r="V496" s="534"/>
      <c r="W496" s="534"/>
      <c r="X496" s="534"/>
      <c r="Y496" s="534"/>
      <c r="Z496" s="534"/>
      <c r="AA496" s="534"/>
      <c r="AB496" s="534"/>
      <c r="AC496" s="534"/>
      <c r="AD496" s="534"/>
    </row>
    <row r="497" spans="1:30" x14ac:dyDescent="0.2">
      <c r="A497" s="533" t="s">
        <v>1113</v>
      </c>
      <c r="B497" s="533">
        <v>1000</v>
      </c>
      <c r="C497" s="533">
        <v>1500</v>
      </c>
      <c r="D497" s="542" t="str">
        <f t="shared" si="18"/>
        <v>CXW-M10001500</v>
      </c>
      <c r="E497" s="907">
        <f t="shared" si="17"/>
        <v>872.52477399999987</v>
      </c>
      <c r="F497" s="534">
        <v>15</v>
      </c>
      <c r="G497" s="535">
        <f>F497*CCBASE!$B$51</f>
        <v>540</v>
      </c>
      <c r="H497" s="535"/>
      <c r="I497" s="535"/>
      <c r="J497" s="535"/>
      <c r="K497" s="535">
        <f>CCBASE!$I$23*B497/1000</f>
        <v>286.85373499999997</v>
      </c>
      <c r="L497" s="535"/>
      <c r="M497" s="535"/>
      <c r="N497" s="535">
        <f>(CCBASE!$I$7*B290/1000*C290/1000)*0.45</f>
        <v>21.291039000000005</v>
      </c>
      <c r="O497" s="535">
        <f>CCBASE!$I$45*B497/1000</f>
        <v>9.9700000000000006</v>
      </c>
      <c r="P497" s="534"/>
      <c r="Q497" s="534"/>
      <c r="R497" s="534"/>
      <c r="S497" s="534"/>
      <c r="T497" s="534"/>
      <c r="U497" s="540">
        <f>CCBASE!$I$47</f>
        <v>14.41</v>
      </c>
      <c r="V497" s="534"/>
      <c r="W497" s="534"/>
      <c r="X497" s="534"/>
      <c r="Y497" s="534"/>
      <c r="Z497" s="534"/>
      <c r="AA497" s="534"/>
      <c r="AB497" s="534"/>
      <c r="AC497" s="534"/>
      <c r="AD497" s="534"/>
    </row>
    <row r="498" spans="1:30" x14ac:dyDescent="0.2">
      <c r="A498" s="533" t="s">
        <v>1113</v>
      </c>
      <c r="B498" s="533">
        <v>1250</v>
      </c>
      <c r="C498" s="533">
        <v>1500</v>
      </c>
      <c r="D498" s="542" t="str">
        <f t="shared" si="18"/>
        <v>CXW-M12501500</v>
      </c>
      <c r="E498" s="907">
        <f t="shared" si="17"/>
        <v>952.0534674999999</v>
      </c>
      <c r="F498" s="534">
        <v>15</v>
      </c>
      <c r="G498" s="535">
        <f>F498*CCBASE!$B$51</f>
        <v>540</v>
      </c>
      <c r="H498" s="535"/>
      <c r="I498" s="535"/>
      <c r="J498" s="535"/>
      <c r="K498" s="535">
        <f>CCBASE!$I$23*B498/1000</f>
        <v>358.56716874999995</v>
      </c>
      <c r="L498" s="535"/>
      <c r="M498" s="535"/>
      <c r="N498" s="535">
        <f>(CCBASE!$I$7*B291/1000*C291/1000)*0.45</f>
        <v>26.613798750000001</v>
      </c>
      <c r="O498" s="535">
        <f>CCBASE!$I$45*B498/1000</f>
        <v>12.4625</v>
      </c>
      <c r="P498" s="534"/>
      <c r="Q498" s="534"/>
      <c r="R498" s="534"/>
      <c r="S498" s="534"/>
      <c r="T498" s="534"/>
      <c r="U498" s="540">
        <f>CCBASE!$I$47</f>
        <v>14.41</v>
      </c>
      <c r="V498" s="534"/>
      <c r="W498" s="534"/>
      <c r="X498" s="534"/>
      <c r="Y498" s="534"/>
      <c r="Z498" s="534"/>
      <c r="AA498" s="534"/>
      <c r="AB498" s="534"/>
      <c r="AC498" s="534"/>
      <c r="AD498" s="534"/>
    </row>
    <row r="499" spans="1:30" x14ac:dyDescent="0.2">
      <c r="A499" s="533" t="s">
        <v>1113</v>
      </c>
      <c r="B499" s="533">
        <v>1500</v>
      </c>
      <c r="C499" s="533">
        <v>1500</v>
      </c>
      <c r="D499" s="542" t="str">
        <f t="shared" si="18"/>
        <v>CXW-M15001500</v>
      </c>
      <c r="E499" s="907">
        <f t="shared" si="17"/>
        <v>1031.582161</v>
      </c>
      <c r="F499" s="534">
        <v>15</v>
      </c>
      <c r="G499" s="535">
        <f>F499*CCBASE!$B$51</f>
        <v>540</v>
      </c>
      <c r="H499" s="535"/>
      <c r="I499" s="535"/>
      <c r="J499" s="535"/>
      <c r="K499" s="535">
        <f>CCBASE!$I$23*B499/1000</f>
        <v>430.28060249999999</v>
      </c>
      <c r="L499" s="535"/>
      <c r="M499" s="535"/>
      <c r="N499" s="535">
        <f>(CCBASE!$I$7*B292/1000*C292/1000)*0.45</f>
        <v>31.936558500000007</v>
      </c>
      <c r="O499" s="535">
        <f>CCBASE!$I$45*B499/1000</f>
        <v>14.955000000000002</v>
      </c>
      <c r="P499" s="534"/>
      <c r="Q499" s="534"/>
      <c r="R499" s="534"/>
      <c r="S499" s="534"/>
      <c r="T499" s="534"/>
      <c r="U499" s="540">
        <f>CCBASE!$I$47</f>
        <v>14.41</v>
      </c>
      <c r="V499" s="534"/>
      <c r="W499" s="534"/>
      <c r="X499" s="534"/>
      <c r="Y499" s="534"/>
      <c r="Z499" s="534"/>
      <c r="AA499" s="534"/>
      <c r="AB499" s="534"/>
      <c r="AC499" s="534"/>
      <c r="AD499" s="534"/>
    </row>
    <row r="500" spans="1:30" x14ac:dyDescent="0.2">
      <c r="A500" s="533" t="s">
        <v>1113</v>
      </c>
      <c r="B500" s="533">
        <v>1750</v>
      </c>
      <c r="C500" s="533">
        <v>1500</v>
      </c>
      <c r="D500" s="542" t="str">
        <f t="shared" si="18"/>
        <v>CXW-M17501500</v>
      </c>
      <c r="E500" s="907">
        <f t="shared" si="17"/>
        <v>1147.1108545</v>
      </c>
      <c r="F500" s="534">
        <v>16</v>
      </c>
      <c r="G500" s="535">
        <f>F500*CCBASE!$B$51</f>
        <v>576</v>
      </c>
      <c r="H500" s="535"/>
      <c r="I500" s="535"/>
      <c r="J500" s="535"/>
      <c r="K500" s="535">
        <f>CCBASE!$I$23*B500/1000</f>
        <v>501.99403624999997</v>
      </c>
      <c r="L500" s="535"/>
      <c r="M500" s="535"/>
      <c r="N500" s="535">
        <f>(CCBASE!$I$7*B293/1000*C293/1000)*0.45</f>
        <v>37.25931825</v>
      </c>
      <c r="O500" s="535">
        <f>CCBASE!$I$45*B500/1000</f>
        <v>17.447500000000002</v>
      </c>
      <c r="P500" s="534"/>
      <c r="Q500" s="534"/>
      <c r="R500" s="534"/>
      <c r="S500" s="534"/>
      <c r="T500" s="534"/>
      <c r="U500" s="540">
        <f>CCBASE!$I$47</f>
        <v>14.41</v>
      </c>
      <c r="V500" s="534"/>
      <c r="W500" s="534"/>
      <c r="X500" s="534"/>
      <c r="Y500" s="534"/>
      <c r="Z500" s="534"/>
      <c r="AA500" s="534"/>
      <c r="AB500" s="534"/>
      <c r="AC500" s="534"/>
      <c r="AD500" s="534"/>
    </row>
    <row r="501" spans="1:30" x14ac:dyDescent="0.2">
      <c r="A501" s="533" t="s">
        <v>1113</v>
      </c>
      <c r="B501" s="533">
        <v>2000</v>
      </c>
      <c r="C501" s="533">
        <v>1500</v>
      </c>
      <c r="D501" s="542" t="str">
        <f t="shared" si="18"/>
        <v>CXW-M20001500</v>
      </c>
      <c r="E501" s="907">
        <f t="shared" si="17"/>
        <v>1226.6395479999999</v>
      </c>
      <c r="F501" s="534">
        <v>16</v>
      </c>
      <c r="G501" s="535">
        <f>F501*CCBASE!$B$51</f>
        <v>576</v>
      </c>
      <c r="H501" s="535"/>
      <c r="I501" s="535"/>
      <c r="J501" s="535"/>
      <c r="K501" s="535">
        <f>CCBASE!$I$23*B501/1000</f>
        <v>573.70746999999994</v>
      </c>
      <c r="L501" s="535"/>
      <c r="M501" s="535"/>
      <c r="N501" s="535">
        <f>(CCBASE!$I$7*B294/1000*C294/1000)*0.45</f>
        <v>42.58207800000001</v>
      </c>
      <c r="O501" s="535">
        <f>CCBASE!$I$45*B501/1000</f>
        <v>19.940000000000001</v>
      </c>
      <c r="P501" s="534"/>
      <c r="Q501" s="534"/>
      <c r="R501" s="534"/>
      <c r="S501" s="534"/>
      <c r="T501" s="534"/>
      <c r="U501" s="540">
        <f>CCBASE!$I$47</f>
        <v>14.41</v>
      </c>
      <c r="V501" s="534"/>
      <c r="W501" s="534"/>
      <c r="X501" s="534"/>
      <c r="Y501" s="534"/>
      <c r="Z501" s="534"/>
      <c r="AA501" s="534"/>
      <c r="AB501" s="534"/>
      <c r="AC501" s="534"/>
      <c r="AD501" s="534"/>
    </row>
    <row r="502" spans="1:30" x14ac:dyDescent="0.2">
      <c r="A502" s="533" t="s">
        <v>1113</v>
      </c>
      <c r="B502" s="533">
        <v>2250</v>
      </c>
      <c r="C502" s="533">
        <v>1500</v>
      </c>
      <c r="D502" s="542" t="str">
        <f t="shared" si="18"/>
        <v>CXW-M22501500</v>
      </c>
      <c r="E502" s="907">
        <f t="shared" si="17"/>
        <v>1320.5782414999999</v>
      </c>
      <c r="F502" s="534">
        <v>16</v>
      </c>
      <c r="G502" s="535">
        <f>F502*CCBASE!$B$51</f>
        <v>576</v>
      </c>
      <c r="H502" s="535"/>
      <c r="I502" s="535"/>
      <c r="J502" s="535"/>
      <c r="K502" s="535">
        <f>CCBASE!$I$23*B502/1000</f>
        <v>645.42090374999998</v>
      </c>
      <c r="L502" s="535"/>
      <c r="M502" s="535"/>
      <c r="N502" s="535">
        <f>(CCBASE!$I$7*B295/1000*C295/1000)*0.45</f>
        <v>47.904837750000006</v>
      </c>
      <c r="O502" s="535">
        <f>CCBASE!$I$45*B502/1000</f>
        <v>22.432500000000001</v>
      </c>
      <c r="P502" s="534"/>
      <c r="Q502" s="534"/>
      <c r="R502" s="534"/>
      <c r="S502" s="534"/>
      <c r="T502" s="534"/>
      <c r="U502" s="540">
        <f>CCBASE!$I$47*2</f>
        <v>28.82</v>
      </c>
      <c r="V502" s="534"/>
      <c r="W502" s="534"/>
      <c r="X502" s="534"/>
      <c r="Y502" s="534"/>
      <c r="Z502" s="534"/>
      <c r="AA502" s="534"/>
      <c r="AB502" s="534"/>
      <c r="AC502" s="534"/>
      <c r="AD502" s="534"/>
    </row>
    <row r="503" spans="1:30" x14ac:dyDescent="0.2">
      <c r="A503" s="533" t="s">
        <v>1113</v>
      </c>
      <c r="B503" s="533">
        <v>2500</v>
      </c>
      <c r="C503" s="533">
        <v>1500</v>
      </c>
      <c r="D503" s="542" t="str">
        <f t="shared" si="18"/>
        <v>CXW-M25001500</v>
      </c>
      <c r="E503" s="907">
        <f t="shared" si="17"/>
        <v>1400.1069349999998</v>
      </c>
      <c r="F503" s="534">
        <v>16</v>
      </c>
      <c r="G503" s="535">
        <f>F503*CCBASE!$B$51</f>
        <v>576</v>
      </c>
      <c r="H503" s="535"/>
      <c r="I503" s="535"/>
      <c r="J503" s="535"/>
      <c r="K503" s="535">
        <f>CCBASE!$I$23*B503/1000</f>
        <v>717.1343374999999</v>
      </c>
      <c r="L503" s="535"/>
      <c r="M503" s="535"/>
      <c r="N503" s="535">
        <f>(CCBASE!$I$7*B296/1000*C296/1000)*0.45</f>
        <v>53.227597500000002</v>
      </c>
      <c r="O503" s="535">
        <f>CCBASE!$I$45*B503/1000</f>
        <v>24.925000000000001</v>
      </c>
      <c r="P503" s="534"/>
      <c r="Q503" s="534"/>
      <c r="R503" s="534"/>
      <c r="S503" s="534"/>
      <c r="T503" s="534"/>
      <c r="U503" s="540">
        <f>CCBASE!$I$47*2</f>
        <v>28.82</v>
      </c>
      <c r="V503" s="534"/>
      <c r="W503" s="534"/>
      <c r="X503" s="534"/>
      <c r="Y503" s="534"/>
      <c r="Z503" s="534"/>
      <c r="AA503" s="534"/>
      <c r="AB503" s="534"/>
      <c r="AC503" s="534"/>
      <c r="AD503" s="534"/>
    </row>
    <row r="504" spans="1:30" x14ac:dyDescent="0.2">
      <c r="A504" s="533" t="s">
        <v>1113</v>
      </c>
      <c r="B504" s="533">
        <v>2750</v>
      </c>
      <c r="C504" s="533">
        <v>1500</v>
      </c>
      <c r="D504" s="542" t="str">
        <f t="shared" si="18"/>
        <v>CXW-M27501500</v>
      </c>
      <c r="E504" s="907">
        <f t="shared" si="17"/>
        <v>1479.6356284999997</v>
      </c>
      <c r="F504" s="534">
        <v>16</v>
      </c>
      <c r="G504" s="535">
        <f>F504*CCBASE!$B$51</f>
        <v>576</v>
      </c>
      <c r="H504" s="535"/>
      <c r="I504" s="535"/>
      <c r="J504" s="535"/>
      <c r="K504" s="535">
        <f>CCBASE!$I$23*B504/1000</f>
        <v>788.84777124999982</v>
      </c>
      <c r="L504" s="535"/>
      <c r="M504" s="535"/>
      <c r="N504" s="535">
        <f>(CCBASE!$I$7*B297/1000*C297/1000)*0.45</f>
        <v>58.550357250000005</v>
      </c>
      <c r="O504" s="535">
        <f>CCBASE!$I$45*B504/1000</f>
        <v>27.4175</v>
      </c>
      <c r="P504" s="534"/>
      <c r="Q504" s="534"/>
      <c r="R504" s="534"/>
      <c r="S504" s="534"/>
      <c r="T504" s="534"/>
      <c r="U504" s="540">
        <f>CCBASE!$I$47*2</f>
        <v>28.82</v>
      </c>
      <c r="V504" s="534"/>
      <c r="W504" s="534"/>
      <c r="X504" s="534"/>
      <c r="Y504" s="534"/>
      <c r="Z504" s="534"/>
      <c r="AA504" s="534"/>
      <c r="AB504" s="534"/>
      <c r="AC504" s="534"/>
      <c r="AD504" s="534"/>
    </row>
    <row r="505" spans="1:30" x14ac:dyDescent="0.2">
      <c r="A505" s="533" t="s">
        <v>1113</v>
      </c>
      <c r="B505" s="533">
        <v>3000</v>
      </c>
      <c r="C505" s="533">
        <v>1500</v>
      </c>
      <c r="D505" s="542" t="str">
        <f t="shared" si="18"/>
        <v>CXW-M30001500</v>
      </c>
      <c r="E505" s="907">
        <f t="shared" si="17"/>
        <v>1559.1643220000001</v>
      </c>
      <c r="F505" s="534">
        <v>16</v>
      </c>
      <c r="G505" s="535">
        <f>F505*CCBASE!$B$51</f>
        <v>576</v>
      </c>
      <c r="H505" s="535"/>
      <c r="I505" s="535"/>
      <c r="J505" s="535"/>
      <c r="K505" s="535">
        <f>CCBASE!$I$23*B505/1000</f>
        <v>860.56120499999997</v>
      </c>
      <c r="L505" s="535"/>
      <c r="M505" s="535"/>
      <c r="N505" s="535">
        <f>(CCBASE!$I$7*B298/1000*C298/1000)*0.45</f>
        <v>63.873117000000015</v>
      </c>
      <c r="O505" s="535">
        <f>CCBASE!$I$45*B505/1000</f>
        <v>29.910000000000004</v>
      </c>
      <c r="P505" s="534"/>
      <c r="Q505" s="534"/>
      <c r="R505" s="534"/>
      <c r="S505" s="534"/>
      <c r="T505" s="534"/>
      <c r="U505" s="540">
        <f>CCBASE!$I$47*2</f>
        <v>28.82</v>
      </c>
      <c r="V505" s="534"/>
      <c r="W505" s="534"/>
      <c r="X505" s="534"/>
      <c r="Y505" s="534"/>
      <c r="Z505" s="534"/>
      <c r="AA505" s="534"/>
      <c r="AB505" s="534"/>
      <c r="AC505" s="534"/>
      <c r="AD505" s="534"/>
    </row>
    <row r="506" spans="1:30" x14ac:dyDescent="0.2">
      <c r="A506" s="533" t="s">
        <v>1113</v>
      </c>
      <c r="B506" s="533">
        <v>1000</v>
      </c>
      <c r="C506" s="533">
        <v>1750</v>
      </c>
      <c r="D506" s="542" t="str">
        <f t="shared" si="18"/>
        <v>CXW-M10001750</v>
      </c>
      <c r="E506" s="907">
        <f t="shared" si="17"/>
        <v>1003.2352454999999</v>
      </c>
      <c r="F506" s="534">
        <v>15</v>
      </c>
      <c r="G506" s="535">
        <f>F506*CCBASE!$B$51</f>
        <v>540</v>
      </c>
      <c r="H506" s="535"/>
      <c r="I506" s="535"/>
      <c r="J506" s="535"/>
      <c r="K506" s="535">
        <f>CCBASE!$I$24*B506/1000</f>
        <v>414.01569999999998</v>
      </c>
      <c r="L506" s="535"/>
      <c r="M506" s="535"/>
      <c r="N506" s="535">
        <f>(CCBASE!$I$7*B299/1000*C299/1000)*0.45</f>
        <v>24.8395455</v>
      </c>
      <c r="O506" s="535">
        <f>CCBASE!$I$45*B506/1000</f>
        <v>9.9700000000000006</v>
      </c>
      <c r="P506" s="534"/>
      <c r="Q506" s="534"/>
      <c r="R506" s="534"/>
      <c r="S506" s="534"/>
      <c r="T506" s="534"/>
      <c r="U506" s="540">
        <f>CCBASE!$I$47</f>
        <v>14.41</v>
      </c>
      <c r="V506" s="534"/>
      <c r="W506" s="534"/>
      <c r="X506" s="534"/>
      <c r="Y506" s="534"/>
      <c r="Z506" s="534"/>
      <c r="AA506" s="534"/>
      <c r="AB506" s="534"/>
      <c r="AC506" s="534"/>
      <c r="AD506" s="534"/>
    </row>
    <row r="507" spans="1:30" x14ac:dyDescent="0.2">
      <c r="A507" s="533" t="s">
        <v>1113</v>
      </c>
      <c r="B507" s="533">
        <v>1250</v>
      </c>
      <c r="C507" s="533">
        <v>1750</v>
      </c>
      <c r="D507" s="542" t="str">
        <f t="shared" si="18"/>
        <v>CXW-M12501750</v>
      </c>
      <c r="E507" s="907">
        <f t="shared" si="17"/>
        <v>1115.4415568750001</v>
      </c>
      <c r="F507" s="534">
        <v>15</v>
      </c>
      <c r="G507" s="535">
        <f>F507*CCBASE!$B$51</f>
        <v>540</v>
      </c>
      <c r="H507" s="535"/>
      <c r="I507" s="535"/>
      <c r="J507" s="535"/>
      <c r="K507" s="535">
        <f>CCBASE!$I$24*B507/1000</f>
        <v>517.51962499999991</v>
      </c>
      <c r="L507" s="535"/>
      <c r="M507" s="535"/>
      <c r="N507" s="535">
        <f>(CCBASE!$I$7*B300/1000*C300/1000)*0.45</f>
        <v>31.049431875000003</v>
      </c>
      <c r="O507" s="535">
        <f>CCBASE!$I$45*B507/1000</f>
        <v>12.4625</v>
      </c>
      <c r="P507" s="534"/>
      <c r="Q507" s="534"/>
      <c r="R507" s="534"/>
      <c r="S507" s="534"/>
      <c r="T507" s="534"/>
      <c r="U507" s="540">
        <f>CCBASE!$I$47</f>
        <v>14.41</v>
      </c>
      <c r="V507" s="534"/>
      <c r="W507" s="534"/>
      <c r="X507" s="534"/>
      <c r="Y507" s="534"/>
      <c r="Z507" s="534"/>
      <c r="AA507" s="534"/>
      <c r="AB507" s="534"/>
      <c r="AC507" s="534"/>
      <c r="AD507" s="534"/>
    </row>
    <row r="508" spans="1:30" x14ac:dyDescent="0.2">
      <c r="A508" s="533" t="s">
        <v>1113</v>
      </c>
      <c r="B508" s="533">
        <v>1500</v>
      </c>
      <c r="C508" s="533">
        <v>1750</v>
      </c>
      <c r="D508" s="542" t="str">
        <f t="shared" si="18"/>
        <v>CXW-M15001750</v>
      </c>
      <c r="E508" s="907">
        <f t="shared" si="17"/>
        <v>1227.6478682499999</v>
      </c>
      <c r="F508" s="534">
        <v>15</v>
      </c>
      <c r="G508" s="535">
        <f>F508*CCBASE!$B$51</f>
        <v>540</v>
      </c>
      <c r="H508" s="535"/>
      <c r="I508" s="535"/>
      <c r="J508" s="535"/>
      <c r="K508" s="535">
        <f>CCBASE!$I$24*B508/1000</f>
        <v>621.02354999999989</v>
      </c>
      <c r="L508" s="535"/>
      <c r="M508" s="535"/>
      <c r="N508" s="535">
        <f>(CCBASE!$I$7*B301/1000*C301/1000)*0.45</f>
        <v>37.259318250000007</v>
      </c>
      <c r="O508" s="535">
        <f>CCBASE!$I$45*B508/1000</f>
        <v>14.955000000000002</v>
      </c>
      <c r="P508" s="534"/>
      <c r="Q508" s="534"/>
      <c r="R508" s="534"/>
      <c r="S508" s="534"/>
      <c r="T508" s="534"/>
      <c r="U508" s="540">
        <f>CCBASE!$I$47</f>
        <v>14.41</v>
      </c>
      <c r="V508" s="534"/>
      <c r="W508" s="534"/>
      <c r="X508" s="534"/>
      <c r="Y508" s="534"/>
      <c r="Z508" s="534"/>
      <c r="AA508" s="534"/>
      <c r="AB508" s="534"/>
      <c r="AC508" s="534"/>
      <c r="AD508" s="534"/>
    </row>
    <row r="509" spans="1:30" x14ac:dyDescent="0.2">
      <c r="A509" s="533" t="s">
        <v>1113</v>
      </c>
      <c r="B509" s="533">
        <v>1750</v>
      </c>
      <c r="C509" s="533">
        <v>1750</v>
      </c>
      <c r="D509" s="542" t="str">
        <f t="shared" si="18"/>
        <v>CXW-M17501750</v>
      </c>
      <c r="E509" s="907">
        <f t="shared" si="17"/>
        <v>1375.8541796249999</v>
      </c>
      <c r="F509" s="534">
        <v>16</v>
      </c>
      <c r="G509" s="535">
        <f>F509*CCBASE!$B$51</f>
        <v>576</v>
      </c>
      <c r="H509" s="535"/>
      <c r="I509" s="535"/>
      <c r="J509" s="535"/>
      <c r="K509" s="535">
        <f>CCBASE!$I$24*B509/1000</f>
        <v>724.52747499999987</v>
      </c>
      <c r="L509" s="535"/>
      <c r="M509" s="535"/>
      <c r="N509" s="535">
        <f>(CCBASE!$I$7*B302/1000*C302/1000)*0.45</f>
        <v>43.469204624999996</v>
      </c>
      <c r="O509" s="535">
        <f>CCBASE!$I$45*B509/1000</f>
        <v>17.447500000000002</v>
      </c>
      <c r="P509" s="534"/>
      <c r="Q509" s="534"/>
      <c r="R509" s="534"/>
      <c r="S509" s="534"/>
      <c r="T509" s="534"/>
      <c r="U509" s="540">
        <f>CCBASE!$I$47</f>
        <v>14.41</v>
      </c>
      <c r="V509" s="534"/>
      <c r="W509" s="534"/>
      <c r="X509" s="534"/>
      <c r="Y509" s="534"/>
      <c r="Z509" s="534"/>
      <c r="AA509" s="534"/>
      <c r="AB509" s="534"/>
      <c r="AC509" s="534"/>
      <c r="AD509" s="534"/>
    </row>
    <row r="510" spans="1:30" x14ac:dyDescent="0.2">
      <c r="A510" s="533" t="s">
        <v>1113</v>
      </c>
      <c r="B510" s="533">
        <v>2000</v>
      </c>
      <c r="C510" s="533">
        <v>1750</v>
      </c>
      <c r="D510" s="542" t="str">
        <f t="shared" si="18"/>
        <v>CXW-M20001750</v>
      </c>
      <c r="E510" s="907">
        <f t="shared" si="17"/>
        <v>1488.060491</v>
      </c>
      <c r="F510" s="534">
        <v>16</v>
      </c>
      <c r="G510" s="535">
        <f>F510*CCBASE!$B$51</f>
        <v>576</v>
      </c>
      <c r="H510" s="535"/>
      <c r="I510" s="535"/>
      <c r="J510" s="535"/>
      <c r="K510" s="535">
        <f>CCBASE!$I$24*B510/1000</f>
        <v>828.03139999999996</v>
      </c>
      <c r="L510" s="535"/>
      <c r="M510" s="535"/>
      <c r="N510" s="535">
        <f>(CCBASE!$I$7*B303/1000*C303/1000)*0.45</f>
        <v>49.679091</v>
      </c>
      <c r="O510" s="535">
        <f>CCBASE!$I$45*B510/1000</f>
        <v>19.940000000000001</v>
      </c>
      <c r="P510" s="534"/>
      <c r="Q510" s="534"/>
      <c r="R510" s="534"/>
      <c r="S510" s="534"/>
      <c r="T510" s="534"/>
      <c r="U510" s="540">
        <f>CCBASE!$I$47</f>
        <v>14.41</v>
      </c>
      <c r="V510" s="534"/>
      <c r="W510" s="534"/>
      <c r="X510" s="534"/>
      <c r="Y510" s="534"/>
      <c r="Z510" s="534"/>
      <c r="AA510" s="534"/>
      <c r="AB510" s="534"/>
      <c r="AC510" s="534"/>
      <c r="AD510" s="534"/>
    </row>
    <row r="511" spans="1:30" x14ac:dyDescent="0.2">
      <c r="A511" s="533" t="s">
        <v>1113</v>
      </c>
      <c r="B511" s="533">
        <v>2250</v>
      </c>
      <c r="C511" s="533">
        <v>1750</v>
      </c>
      <c r="D511" s="542" t="str">
        <f t="shared" si="18"/>
        <v>CXW-M22501750</v>
      </c>
      <c r="E511" s="907">
        <f t="shared" si="17"/>
        <v>1614.6768023749996</v>
      </c>
      <c r="F511" s="534">
        <v>16</v>
      </c>
      <c r="G511" s="535">
        <f>F511*CCBASE!$B$51</f>
        <v>576</v>
      </c>
      <c r="H511" s="535"/>
      <c r="I511" s="535"/>
      <c r="J511" s="535"/>
      <c r="K511" s="535">
        <f>CCBASE!$I$24*B511/1000</f>
        <v>931.53532499999983</v>
      </c>
      <c r="L511" s="535"/>
      <c r="M511" s="535"/>
      <c r="N511" s="535">
        <f>(CCBASE!$I$7*B304/1000*C304/1000)*0.45</f>
        <v>55.88897737500001</v>
      </c>
      <c r="O511" s="535">
        <f>CCBASE!$I$45*B511/1000</f>
        <v>22.432500000000001</v>
      </c>
      <c r="P511" s="534"/>
      <c r="Q511" s="534"/>
      <c r="R511" s="534"/>
      <c r="S511" s="534"/>
      <c r="T511" s="534"/>
      <c r="U511" s="540">
        <f>CCBASE!$I$47*2</f>
        <v>28.82</v>
      </c>
      <c r="V511" s="534"/>
      <c r="W511" s="534"/>
      <c r="X511" s="534"/>
      <c r="Y511" s="534"/>
      <c r="Z511" s="534"/>
      <c r="AA511" s="534"/>
      <c r="AB511" s="534"/>
      <c r="AC511" s="534"/>
      <c r="AD511" s="534"/>
    </row>
    <row r="512" spans="1:30" x14ac:dyDescent="0.2">
      <c r="A512" s="533" t="s">
        <v>1113</v>
      </c>
      <c r="B512" s="533">
        <v>2500</v>
      </c>
      <c r="C512" s="533">
        <v>1750</v>
      </c>
      <c r="D512" s="542" t="str">
        <f t="shared" si="18"/>
        <v>CXW-M25001750</v>
      </c>
      <c r="E512" s="907">
        <f t="shared" si="17"/>
        <v>1726.8831137499997</v>
      </c>
      <c r="F512" s="534">
        <v>16</v>
      </c>
      <c r="G512" s="535">
        <f>F512*CCBASE!$B$51</f>
        <v>576</v>
      </c>
      <c r="H512" s="535"/>
      <c r="I512" s="535"/>
      <c r="J512" s="535"/>
      <c r="K512" s="535">
        <f>CCBASE!$I$24*B512/1000</f>
        <v>1035.0392499999998</v>
      </c>
      <c r="L512" s="535"/>
      <c r="M512" s="535"/>
      <c r="N512" s="535">
        <f>(CCBASE!$I$7*B305/1000*C305/1000)*0.45</f>
        <v>62.098863750000007</v>
      </c>
      <c r="O512" s="535">
        <f>CCBASE!$I$45*B512/1000</f>
        <v>24.925000000000001</v>
      </c>
      <c r="P512" s="534"/>
      <c r="Q512" s="534"/>
      <c r="R512" s="534"/>
      <c r="S512" s="534"/>
      <c r="T512" s="534"/>
      <c r="U512" s="540">
        <f>CCBASE!$I$47*2</f>
        <v>28.82</v>
      </c>
      <c r="V512" s="534"/>
      <c r="W512" s="534"/>
      <c r="X512" s="534"/>
      <c r="Y512" s="534"/>
      <c r="Z512" s="534"/>
      <c r="AA512" s="534"/>
      <c r="AB512" s="534"/>
      <c r="AC512" s="534"/>
      <c r="AD512" s="534"/>
    </row>
    <row r="513" spans="1:30" x14ac:dyDescent="0.2">
      <c r="A513" s="533" t="s">
        <v>1113</v>
      </c>
      <c r="B513" s="533">
        <v>2750</v>
      </c>
      <c r="C513" s="533">
        <v>1750</v>
      </c>
      <c r="D513" s="542" t="str">
        <f t="shared" si="18"/>
        <v>CXW-M27501750</v>
      </c>
      <c r="E513" s="907">
        <f t="shared" si="17"/>
        <v>1839.0894251249997</v>
      </c>
      <c r="F513" s="534">
        <v>16</v>
      </c>
      <c r="G513" s="535">
        <f>F513*CCBASE!$B$51</f>
        <v>576</v>
      </c>
      <c r="H513" s="535"/>
      <c r="I513" s="535"/>
      <c r="J513" s="535"/>
      <c r="K513" s="535">
        <f>CCBASE!$I$24*B513/1000</f>
        <v>1138.5431749999998</v>
      </c>
      <c r="L513" s="535"/>
      <c r="M513" s="535"/>
      <c r="N513" s="535">
        <f>(CCBASE!$I$7*B306/1000*C306/1000)*0.45</f>
        <v>68.308750125000003</v>
      </c>
      <c r="O513" s="535">
        <f>CCBASE!$I$45*B513/1000</f>
        <v>27.4175</v>
      </c>
      <c r="P513" s="534"/>
      <c r="Q513" s="534"/>
      <c r="R513" s="534"/>
      <c r="S513" s="534"/>
      <c r="T513" s="534"/>
      <c r="U513" s="540">
        <f>CCBASE!$I$47*2</f>
        <v>28.82</v>
      </c>
      <c r="V513" s="534"/>
      <c r="W513" s="534"/>
      <c r="X513" s="534"/>
      <c r="Y513" s="534"/>
      <c r="Z513" s="534"/>
      <c r="AA513" s="534"/>
      <c r="AB513" s="534"/>
      <c r="AC513" s="534"/>
      <c r="AD513" s="534"/>
    </row>
    <row r="514" spans="1:30" x14ac:dyDescent="0.2">
      <c r="A514" s="533" t="s">
        <v>1113</v>
      </c>
      <c r="B514" s="533">
        <v>3000</v>
      </c>
      <c r="C514" s="533">
        <v>1750</v>
      </c>
      <c r="D514" s="542" t="str">
        <f t="shared" si="18"/>
        <v>CXW-M30001750</v>
      </c>
      <c r="E514" s="907">
        <f t="shared" ref="E514:E568" si="19">SUM(G514:AD514)</f>
        <v>1951.2957364999997</v>
      </c>
      <c r="F514" s="534">
        <v>16</v>
      </c>
      <c r="G514" s="535">
        <f>F514*CCBASE!$B$51</f>
        <v>576</v>
      </c>
      <c r="H514" s="535"/>
      <c r="I514" s="535"/>
      <c r="J514" s="535"/>
      <c r="K514" s="535">
        <f>CCBASE!$I$24*B514/1000</f>
        <v>1242.0470999999998</v>
      </c>
      <c r="L514" s="535"/>
      <c r="M514" s="535"/>
      <c r="N514" s="535">
        <f>(CCBASE!$I$7*B307/1000*C307/1000)*0.45</f>
        <v>74.518636500000014</v>
      </c>
      <c r="O514" s="535">
        <f>CCBASE!$I$45*B514/1000</f>
        <v>29.910000000000004</v>
      </c>
      <c r="P514" s="534"/>
      <c r="Q514" s="534"/>
      <c r="R514" s="534"/>
      <c r="S514" s="534"/>
      <c r="T514" s="534"/>
      <c r="U514" s="540">
        <f>CCBASE!$I$47*2</f>
        <v>28.82</v>
      </c>
      <c r="V514" s="534"/>
      <c r="W514" s="534"/>
      <c r="X514" s="534"/>
      <c r="Y514" s="534"/>
      <c r="Z514" s="534"/>
      <c r="AA514" s="534"/>
      <c r="AB514" s="534"/>
      <c r="AC514" s="534"/>
      <c r="AD514" s="534"/>
    </row>
    <row r="515" spans="1:30" x14ac:dyDescent="0.2">
      <c r="A515" s="533" t="s">
        <v>1113</v>
      </c>
      <c r="B515" s="533">
        <v>1000</v>
      </c>
      <c r="C515" s="533">
        <v>2000</v>
      </c>
      <c r="D515" s="542" t="str">
        <f t="shared" si="18"/>
        <v>CXW-M10002000</v>
      </c>
      <c r="E515" s="907">
        <f t="shared" si="19"/>
        <v>1036.948551</v>
      </c>
      <c r="F515" s="534">
        <v>15</v>
      </c>
      <c r="G515" s="535">
        <f>F515*CCBASE!$B$51</f>
        <v>540</v>
      </c>
      <c r="H515" s="535"/>
      <c r="I515" s="535"/>
      <c r="J515" s="535"/>
      <c r="K515" s="535">
        <f>CCBASE!$I$25*B515/1000</f>
        <v>458.37452499999995</v>
      </c>
      <c r="L515" s="535"/>
      <c r="M515" s="535"/>
      <c r="N515" s="535">
        <f>(CCBASE!$I$7*B317/1000*C317/1000)*0.45</f>
        <v>14.194026000000001</v>
      </c>
      <c r="O515" s="535">
        <f>CCBASE!$I$45*B515/1000</f>
        <v>9.9700000000000006</v>
      </c>
      <c r="P515" s="534"/>
      <c r="Q515" s="534"/>
      <c r="R515" s="534"/>
      <c r="S515" s="534"/>
      <c r="T515" s="534"/>
      <c r="U515" s="540">
        <f>CCBASE!$I$47</f>
        <v>14.41</v>
      </c>
      <c r="V515" s="534"/>
      <c r="W515" s="534"/>
      <c r="X515" s="534"/>
      <c r="Y515" s="534"/>
      <c r="Z515" s="534"/>
      <c r="AA515" s="534"/>
      <c r="AB515" s="534"/>
      <c r="AC515" s="534"/>
      <c r="AD515" s="534"/>
    </row>
    <row r="516" spans="1:30" x14ac:dyDescent="0.2">
      <c r="A516" s="533" t="s">
        <v>1113</v>
      </c>
      <c r="B516" s="533">
        <v>1250</v>
      </c>
      <c r="C516" s="533">
        <v>2000</v>
      </c>
      <c r="D516" s="542" t="str">
        <f t="shared" si="18"/>
        <v>CXW-M12502000</v>
      </c>
      <c r="E516" s="907">
        <f t="shared" si="19"/>
        <v>1157.5831887500001</v>
      </c>
      <c r="F516" s="534">
        <v>15</v>
      </c>
      <c r="G516" s="535">
        <f>F516*CCBASE!$B$51</f>
        <v>540</v>
      </c>
      <c r="H516" s="535"/>
      <c r="I516" s="535"/>
      <c r="J516" s="535"/>
      <c r="K516" s="535">
        <f>CCBASE!$I$25*B516/1000</f>
        <v>572.96815624999988</v>
      </c>
      <c r="L516" s="535"/>
      <c r="M516" s="535"/>
      <c r="N516" s="535">
        <f>(CCBASE!$I$7*B318/1000*C318/1000)*0.45</f>
        <v>17.742532499999999</v>
      </c>
      <c r="O516" s="535">
        <f>CCBASE!$I$45*B516/1000</f>
        <v>12.4625</v>
      </c>
      <c r="P516" s="534"/>
      <c r="Q516" s="534"/>
      <c r="R516" s="534"/>
      <c r="S516" s="534"/>
      <c r="T516" s="534"/>
      <c r="U516" s="540">
        <f>CCBASE!$I$47</f>
        <v>14.41</v>
      </c>
      <c r="V516" s="534"/>
      <c r="W516" s="534"/>
      <c r="X516" s="534"/>
      <c r="Y516" s="534"/>
      <c r="Z516" s="534"/>
      <c r="AA516" s="534"/>
      <c r="AB516" s="534"/>
      <c r="AC516" s="534"/>
      <c r="AD516" s="534"/>
    </row>
    <row r="517" spans="1:30" x14ac:dyDescent="0.2">
      <c r="A517" s="533" t="s">
        <v>1113</v>
      </c>
      <c r="B517" s="533">
        <v>1500</v>
      </c>
      <c r="C517" s="533">
        <v>2000</v>
      </c>
      <c r="D517" s="542" t="str">
        <f t="shared" si="18"/>
        <v>CXW-M15002000</v>
      </c>
      <c r="E517" s="907">
        <f t="shared" si="19"/>
        <v>1278.2178264999998</v>
      </c>
      <c r="F517" s="534">
        <v>15</v>
      </c>
      <c r="G517" s="535">
        <f>F517*CCBASE!$B$51</f>
        <v>540</v>
      </c>
      <c r="H517" s="535"/>
      <c r="I517" s="535"/>
      <c r="J517" s="535"/>
      <c r="K517" s="535">
        <f>CCBASE!$I$25*B517/1000</f>
        <v>687.56178749999992</v>
      </c>
      <c r="L517" s="535"/>
      <c r="M517" s="535"/>
      <c r="N517" s="535">
        <f>(CCBASE!$I$7*B319/1000*C319/1000)*0.45</f>
        <v>21.291039000000005</v>
      </c>
      <c r="O517" s="535">
        <f>CCBASE!$I$45*B517/1000</f>
        <v>14.955000000000002</v>
      </c>
      <c r="P517" s="534"/>
      <c r="Q517" s="534"/>
      <c r="R517" s="534"/>
      <c r="S517" s="534"/>
      <c r="T517" s="534"/>
      <c r="U517" s="540">
        <f>CCBASE!$I$47</f>
        <v>14.41</v>
      </c>
      <c r="V517" s="534"/>
      <c r="W517" s="534"/>
      <c r="X517" s="534"/>
      <c r="Y517" s="534"/>
      <c r="Z517" s="534"/>
      <c r="AA517" s="534"/>
      <c r="AB517" s="534"/>
      <c r="AC517" s="534"/>
      <c r="AD517" s="534"/>
    </row>
    <row r="518" spans="1:30" x14ac:dyDescent="0.2">
      <c r="A518" s="533" t="s">
        <v>1113</v>
      </c>
      <c r="B518" s="533">
        <v>1750</v>
      </c>
      <c r="C518" s="533">
        <v>2000</v>
      </c>
      <c r="D518" s="542" t="str">
        <f t="shared" si="18"/>
        <v>CXW-M17502000</v>
      </c>
      <c r="E518" s="907">
        <f t="shared" si="19"/>
        <v>1434.8524642500001</v>
      </c>
      <c r="F518" s="534">
        <v>16</v>
      </c>
      <c r="G518" s="535">
        <f>F518*CCBASE!$B$51</f>
        <v>576</v>
      </c>
      <c r="H518" s="535"/>
      <c r="I518" s="535"/>
      <c r="J518" s="535"/>
      <c r="K518" s="535">
        <f>CCBASE!$I$25*B518/1000</f>
        <v>802.15541874999997</v>
      </c>
      <c r="L518" s="535"/>
      <c r="M518" s="535"/>
      <c r="N518" s="535">
        <f>(CCBASE!$I$7*B320/1000*C320/1000)*0.45</f>
        <v>24.8395455</v>
      </c>
      <c r="O518" s="535">
        <f>CCBASE!$I$45*B518/1000</f>
        <v>17.447500000000002</v>
      </c>
      <c r="P518" s="534"/>
      <c r="Q518" s="534"/>
      <c r="R518" s="534"/>
      <c r="S518" s="534"/>
      <c r="T518" s="534"/>
      <c r="U518" s="540">
        <f>CCBASE!$I$47</f>
        <v>14.41</v>
      </c>
      <c r="V518" s="534"/>
      <c r="W518" s="534"/>
      <c r="X518" s="534"/>
      <c r="Y518" s="534"/>
      <c r="Z518" s="534"/>
      <c r="AA518" s="534"/>
      <c r="AB518" s="534"/>
      <c r="AC518" s="534"/>
      <c r="AD518" s="534"/>
    </row>
    <row r="519" spans="1:30" x14ac:dyDescent="0.2">
      <c r="A519" s="533" t="s">
        <v>1113</v>
      </c>
      <c r="B519" s="533">
        <v>2000</v>
      </c>
      <c r="C519" s="533">
        <v>2000</v>
      </c>
      <c r="D519" s="542" t="str">
        <f t="shared" si="18"/>
        <v>CXW-M20002000</v>
      </c>
      <c r="E519" s="907">
        <f t="shared" si="19"/>
        <v>1555.487102</v>
      </c>
      <c r="F519" s="534">
        <v>16</v>
      </c>
      <c r="G519" s="535">
        <f>F519*CCBASE!$B$51</f>
        <v>576</v>
      </c>
      <c r="H519" s="535"/>
      <c r="I519" s="535"/>
      <c r="J519" s="535"/>
      <c r="K519" s="535">
        <f>CCBASE!$I$25*B519/1000</f>
        <v>916.7490499999999</v>
      </c>
      <c r="L519" s="535"/>
      <c r="M519" s="535"/>
      <c r="N519" s="535">
        <f>(CCBASE!$I$7*B321/1000*C321/1000)*0.45</f>
        <v>28.388052000000002</v>
      </c>
      <c r="O519" s="535">
        <f>CCBASE!$I$45*B519/1000</f>
        <v>19.940000000000001</v>
      </c>
      <c r="P519" s="534"/>
      <c r="Q519" s="534"/>
      <c r="R519" s="534"/>
      <c r="S519" s="534"/>
      <c r="T519" s="534"/>
      <c r="U519" s="540">
        <f>CCBASE!$I$47</f>
        <v>14.41</v>
      </c>
      <c r="V519" s="534"/>
      <c r="W519" s="534"/>
      <c r="X519" s="534"/>
      <c r="Y519" s="534"/>
      <c r="Z519" s="534"/>
      <c r="AA519" s="534"/>
      <c r="AB519" s="534"/>
      <c r="AC519" s="534"/>
      <c r="AD519" s="534"/>
    </row>
    <row r="520" spans="1:30" x14ac:dyDescent="0.2">
      <c r="A520" s="533" t="s">
        <v>1113</v>
      </c>
      <c r="B520" s="533">
        <v>2250</v>
      </c>
      <c r="C520" s="533">
        <v>2000</v>
      </c>
      <c r="D520" s="542" t="str">
        <f t="shared" si="18"/>
        <v>CXW-M22502000</v>
      </c>
      <c r="E520" s="907">
        <f t="shared" si="19"/>
        <v>1690.5317397499998</v>
      </c>
      <c r="F520" s="534">
        <v>16</v>
      </c>
      <c r="G520" s="535">
        <f>F520*CCBASE!$B$51</f>
        <v>576</v>
      </c>
      <c r="H520" s="535"/>
      <c r="I520" s="535"/>
      <c r="J520" s="535"/>
      <c r="K520" s="535">
        <f>CCBASE!$I$25*B520/1000</f>
        <v>1031.3426812499999</v>
      </c>
      <c r="L520" s="535"/>
      <c r="M520" s="535"/>
      <c r="N520" s="535">
        <f>(CCBASE!$I$7*B322/1000*C322/1000)*0.45</f>
        <v>31.936558500000007</v>
      </c>
      <c r="O520" s="535">
        <f>CCBASE!$I$45*B520/1000</f>
        <v>22.432500000000001</v>
      </c>
      <c r="P520" s="534"/>
      <c r="Q520" s="534"/>
      <c r="R520" s="534"/>
      <c r="S520" s="534"/>
      <c r="T520" s="534"/>
      <c r="U520" s="540">
        <f>CCBASE!$I$47*2</f>
        <v>28.82</v>
      </c>
      <c r="V520" s="534"/>
      <c r="W520" s="534"/>
      <c r="X520" s="534"/>
      <c r="Y520" s="534"/>
      <c r="Z520" s="534"/>
      <c r="AA520" s="534"/>
      <c r="AB520" s="534"/>
      <c r="AC520" s="534"/>
      <c r="AD520" s="534"/>
    </row>
    <row r="521" spans="1:30" x14ac:dyDescent="0.2">
      <c r="A521" s="533" t="s">
        <v>1113</v>
      </c>
      <c r="B521" s="533">
        <v>2500</v>
      </c>
      <c r="C521" s="533">
        <v>2000</v>
      </c>
      <c r="D521" s="542" t="str">
        <f t="shared" si="18"/>
        <v>CXW-M25002000</v>
      </c>
      <c r="E521" s="907">
        <f t="shared" si="19"/>
        <v>1811.1663774999997</v>
      </c>
      <c r="F521" s="534">
        <v>16</v>
      </c>
      <c r="G521" s="535">
        <f>F521*CCBASE!$B$51</f>
        <v>576</v>
      </c>
      <c r="H521" s="535"/>
      <c r="I521" s="535"/>
      <c r="J521" s="535"/>
      <c r="K521" s="535">
        <f>CCBASE!$I$25*B521/1000</f>
        <v>1145.9363124999998</v>
      </c>
      <c r="L521" s="535"/>
      <c r="M521" s="535"/>
      <c r="N521" s="535">
        <f>(CCBASE!$I$7*B323/1000*C323/1000)*0.45</f>
        <v>35.485064999999999</v>
      </c>
      <c r="O521" s="535">
        <f>CCBASE!$I$45*B521/1000</f>
        <v>24.925000000000001</v>
      </c>
      <c r="P521" s="534"/>
      <c r="Q521" s="534"/>
      <c r="R521" s="534"/>
      <c r="S521" s="534"/>
      <c r="T521" s="534"/>
      <c r="U521" s="540">
        <f>CCBASE!$I$47*2</f>
        <v>28.82</v>
      </c>
      <c r="V521" s="534"/>
      <c r="W521" s="534"/>
      <c r="X521" s="534"/>
      <c r="Y521" s="534"/>
      <c r="Z521" s="534"/>
      <c r="AA521" s="534"/>
      <c r="AB521" s="534"/>
      <c r="AC521" s="534"/>
      <c r="AD521" s="534"/>
    </row>
    <row r="522" spans="1:30" x14ac:dyDescent="0.2">
      <c r="A522" s="533" t="s">
        <v>1113</v>
      </c>
      <c r="B522" s="533">
        <v>2750</v>
      </c>
      <c r="C522" s="533">
        <v>2000</v>
      </c>
      <c r="D522" s="542" t="str">
        <f t="shared" si="18"/>
        <v>CXW-M27502000</v>
      </c>
      <c r="E522" s="907">
        <f t="shared" si="19"/>
        <v>1931.8010152499999</v>
      </c>
      <c r="F522" s="534">
        <v>16</v>
      </c>
      <c r="G522" s="535">
        <f>F522*CCBASE!$B$51</f>
        <v>576</v>
      </c>
      <c r="H522" s="535"/>
      <c r="I522" s="535"/>
      <c r="J522" s="535"/>
      <c r="K522" s="535">
        <f>CCBASE!$I$25*B522/1000</f>
        <v>1260.5299437499998</v>
      </c>
      <c r="L522" s="535"/>
      <c r="M522" s="535"/>
      <c r="N522" s="535">
        <f>(CCBASE!$I$7*B324/1000*C324/1000)*0.45</f>
        <v>39.033571500000001</v>
      </c>
      <c r="O522" s="535">
        <f>CCBASE!$I$45*B522/1000</f>
        <v>27.4175</v>
      </c>
      <c r="P522" s="534"/>
      <c r="Q522" s="534"/>
      <c r="R522" s="534"/>
      <c r="S522" s="534"/>
      <c r="T522" s="534"/>
      <c r="U522" s="540">
        <f>CCBASE!$I$47*2</f>
        <v>28.82</v>
      </c>
      <c r="V522" s="534"/>
      <c r="W522" s="534"/>
      <c r="X522" s="534"/>
      <c r="Y522" s="534"/>
      <c r="Z522" s="534"/>
      <c r="AA522" s="534"/>
      <c r="AB522" s="534"/>
      <c r="AC522" s="534"/>
      <c r="AD522" s="534"/>
    </row>
    <row r="523" spans="1:30" x14ac:dyDescent="0.2">
      <c r="A523" s="533" t="s">
        <v>1113</v>
      </c>
      <c r="B523" s="533">
        <v>3000</v>
      </c>
      <c r="C523" s="533">
        <v>2000</v>
      </c>
      <c r="D523" s="542" t="str">
        <f t="shared" si="18"/>
        <v>CXW-M30002000</v>
      </c>
      <c r="E523" s="907">
        <f t="shared" si="19"/>
        <v>2052.435653</v>
      </c>
      <c r="F523" s="534">
        <v>16</v>
      </c>
      <c r="G523" s="535">
        <f>F523*CCBASE!$B$51</f>
        <v>576</v>
      </c>
      <c r="H523" s="535"/>
      <c r="I523" s="535"/>
      <c r="J523" s="535"/>
      <c r="K523" s="535">
        <f>CCBASE!$I$25*B523/1000</f>
        <v>1375.1235749999998</v>
      </c>
      <c r="L523" s="535"/>
      <c r="M523" s="535"/>
      <c r="N523" s="535">
        <f>(CCBASE!$I$7*B325/1000*C325/1000)*0.45</f>
        <v>42.58207800000001</v>
      </c>
      <c r="O523" s="535">
        <f>CCBASE!$I$45*B523/1000</f>
        <v>29.910000000000004</v>
      </c>
      <c r="P523" s="534"/>
      <c r="Q523" s="534"/>
      <c r="R523" s="534"/>
      <c r="S523" s="534"/>
      <c r="T523" s="534"/>
      <c r="U523" s="540">
        <f>CCBASE!$I$47*2</f>
        <v>28.82</v>
      </c>
      <c r="V523" s="534"/>
      <c r="W523" s="534"/>
      <c r="X523" s="534"/>
      <c r="Y523" s="534"/>
      <c r="Z523" s="534"/>
      <c r="AA523" s="534"/>
      <c r="AB523" s="534"/>
      <c r="AC523" s="534"/>
      <c r="AD523" s="534"/>
    </row>
    <row r="524" spans="1:30" x14ac:dyDescent="0.2">
      <c r="A524" s="533" t="s">
        <v>1120</v>
      </c>
      <c r="B524" s="533">
        <v>1000</v>
      </c>
      <c r="C524" s="533">
        <v>1000</v>
      </c>
      <c r="D524" s="542" t="str">
        <f t="shared" si="18"/>
        <v>KVV10001000</v>
      </c>
      <c r="E524" s="907">
        <f t="shared" si="19"/>
        <v>626.15295000000003</v>
      </c>
      <c r="F524" s="534">
        <v>10</v>
      </c>
      <c r="G524" s="535">
        <f>F524*CCBASE!$B$51</f>
        <v>360</v>
      </c>
      <c r="H524" s="535"/>
      <c r="I524" s="535"/>
      <c r="J524" s="535">
        <f>CCBASE!$I$26*B524/1000</f>
        <v>266.15295000000003</v>
      </c>
      <c r="K524" s="535"/>
      <c r="L524" s="535"/>
      <c r="M524" s="535"/>
      <c r="N524" s="535"/>
      <c r="O524" s="535"/>
      <c r="P524" s="534"/>
      <c r="Q524" s="534"/>
      <c r="R524" s="534"/>
      <c r="S524" s="534"/>
      <c r="T524" s="534"/>
      <c r="U524" s="534"/>
      <c r="V524" s="534"/>
      <c r="W524" s="534"/>
      <c r="X524" s="534"/>
      <c r="Y524" s="534"/>
      <c r="Z524" s="534"/>
      <c r="AA524" s="534"/>
      <c r="AB524" s="534"/>
      <c r="AC524" s="534"/>
      <c r="AD524" s="534"/>
    </row>
    <row r="525" spans="1:30" x14ac:dyDescent="0.2">
      <c r="A525" s="533" t="s">
        <v>1120</v>
      </c>
      <c r="B525" s="533">
        <v>1250</v>
      </c>
      <c r="C525" s="533">
        <v>1000</v>
      </c>
      <c r="D525" s="542" t="str">
        <f t="shared" si="18"/>
        <v>KVV12501000</v>
      </c>
      <c r="E525" s="907">
        <f t="shared" si="19"/>
        <v>692.69118750000007</v>
      </c>
      <c r="F525" s="534">
        <v>10</v>
      </c>
      <c r="G525" s="535">
        <f>F525*CCBASE!$B$51</f>
        <v>360</v>
      </c>
      <c r="H525" s="535"/>
      <c r="I525" s="535"/>
      <c r="J525" s="535">
        <f>CCBASE!$I$26*B525/1000</f>
        <v>332.69118750000007</v>
      </c>
      <c r="K525" s="535"/>
      <c r="L525" s="535"/>
      <c r="M525" s="535"/>
      <c r="N525" s="535"/>
      <c r="O525" s="535"/>
      <c r="P525" s="534"/>
      <c r="Q525" s="534"/>
      <c r="R525" s="534"/>
      <c r="S525" s="534"/>
      <c r="T525" s="534"/>
      <c r="U525" s="534"/>
      <c r="V525" s="534"/>
      <c r="W525" s="534"/>
      <c r="X525" s="534"/>
      <c r="Y525" s="534"/>
      <c r="Z525" s="534"/>
      <c r="AA525" s="534"/>
      <c r="AB525" s="534"/>
      <c r="AC525" s="534"/>
      <c r="AD525" s="534"/>
    </row>
    <row r="526" spans="1:30" x14ac:dyDescent="0.2">
      <c r="A526" s="533" t="s">
        <v>1120</v>
      </c>
      <c r="B526" s="533">
        <v>1500</v>
      </c>
      <c r="C526" s="533">
        <v>1000</v>
      </c>
      <c r="D526" s="542" t="str">
        <f t="shared" si="18"/>
        <v>KVV15001000</v>
      </c>
      <c r="E526" s="907">
        <f t="shared" si="19"/>
        <v>759.22942499999999</v>
      </c>
      <c r="F526" s="534">
        <v>10</v>
      </c>
      <c r="G526" s="535">
        <f>F526*CCBASE!$B$51</f>
        <v>360</v>
      </c>
      <c r="H526" s="535"/>
      <c r="I526" s="535"/>
      <c r="J526" s="535">
        <f>CCBASE!$I$26*B526/1000</f>
        <v>399.22942500000005</v>
      </c>
      <c r="K526" s="535"/>
      <c r="L526" s="535"/>
      <c r="M526" s="535"/>
      <c r="N526" s="535"/>
      <c r="O526" s="535"/>
      <c r="P526" s="534"/>
      <c r="Q526" s="534"/>
      <c r="R526" s="534"/>
      <c r="S526" s="534"/>
      <c r="T526" s="534"/>
      <c r="U526" s="534"/>
      <c r="V526" s="534"/>
      <c r="W526" s="534"/>
      <c r="X526" s="534"/>
      <c r="Y526" s="534"/>
      <c r="Z526" s="534"/>
      <c r="AA526" s="534"/>
      <c r="AB526" s="534"/>
      <c r="AC526" s="534"/>
      <c r="AD526" s="534"/>
    </row>
    <row r="527" spans="1:30" x14ac:dyDescent="0.2">
      <c r="A527" s="533" t="s">
        <v>1120</v>
      </c>
      <c r="B527" s="533">
        <v>1750</v>
      </c>
      <c r="C527" s="533">
        <v>1000</v>
      </c>
      <c r="D527" s="542" t="str">
        <f t="shared" si="18"/>
        <v>KVV17501000</v>
      </c>
      <c r="E527" s="907">
        <f t="shared" si="19"/>
        <v>897.76766250000003</v>
      </c>
      <c r="F527" s="534">
        <v>12</v>
      </c>
      <c r="G527" s="535">
        <f>F527*CCBASE!$B$51</f>
        <v>432</v>
      </c>
      <c r="H527" s="535"/>
      <c r="I527" s="535"/>
      <c r="J527" s="535">
        <f>CCBASE!$I$26*B527/1000</f>
        <v>465.76766250000003</v>
      </c>
      <c r="K527" s="535"/>
      <c r="L527" s="535"/>
      <c r="M527" s="535"/>
      <c r="N527" s="535"/>
      <c r="O527" s="535"/>
      <c r="P527" s="534"/>
      <c r="Q527" s="534"/>
      <c r="R527" s="534"/>
      <c r="S527" s="534"/>
      <c r="T527" s="534"/>
      <c r="U527" s="534"/>
      <c r="V527" s="534"/>
      <c r="W527" s="534"/>
      <c r="X527" s="534"/>
      <c r="Y527" s="534"/>
      <c r="Z527" s="534"/>
      <c r="AA527" s="534"/>
      <c r="AB527" s="534"/>
      <c r="AC527" s="534"/>
      <c r="AD527" s="534"/>
    </row>
    <row r="528" spans="1:30" x14ac:dyDescent="0.2">
      <c r="A528" s="533" t="s">
        <v>1120</v>
      </c>
      <c r="B528" s="533">
        <v>2000</v>
      </c>
      <c r="C528" s="533">
        <v>1000</v>
      </c>
      <c r="D528" s="542" t="str">
        <f t="shared" si="18"/>
        <v>KVV20001000</v>
      </c>
      <c r="E528" s="907">
        <f t="shared" si="19"/>
        <v>964.30590000000007</v>
      </c>
      <c r="F528" s="534">
        <v>12</v>
      </c>
      <c r="G528" s="535">
        <f>F528*CCBASE!$B$51</f>
        <v>432</v>
      </c>
      <c r="H528" s="535"/>
      <c r="I528" s="535"/>
      <c r="J528" s="535">
        <f>CCBASE!$I$26*B528/1000</f>
        <v>532.30590000000007</v>
      </c>
      <c r="K528" s="535"/>
      <c r="L528" s="535"/>
      <c r="M528" s="535"/>
      <c r="N528" s="535"/>
      <c r="O528" s="535"/>
      <c r="P528" s="534"/>
      <c r="Q528" s="534"/>
      <c r="R528" s="534"/>
      <c r="S528" s="534"/>
      <c r="T528" s="534"/>
      <c r="U528" s="534"/>
      <c r="V528" s="534"/>
      <c r="W528" s="534"/>
      <c r="X528" s="534"/>
      <c r="Y528" s="534"/>
      <c r="Z528" s="534"/>
      <c r="AA528" s="534"/>
      <c r="AB528" s="534"/>
      <c r="AC528" s="534"/>
      <c r="AD528" s="534"/>
    </row>
    <row r="529" spans="1:30" x14ac:dyDescent="0.2">
      <c r="A529" s="533" t="s">
        <v>1120</v>
      </c>
      <c r="B529" s="533">
        <v>2250</v>
      </c>
      <c r="C529" s="533">
        <v>1000</v>
      </c>
      <c r="D529" s="542" t="str">
        <f t="shared" si="18"/>
        <v>KVV22501000</v>
      </c>
      <c r="E529" s="907">
        <f t="shared" si="19"/>
        <v>1030.8441375000002</v>
      </c>
      <c r="F529" s="534">
        <v>12</v>
      </c>
      <c r="G529" s="535">
        <f>F529*CCBASE!$B$51</f>
        <v>432</v>
      </c>
      <c r="H529" s="535"/>
      <c r="I529" s="535"/>
      <c r="J529" s="535">
        <f>CCBASE!$I$26*B529/1000</f>
        <v>598.8441375000001</v>
      </c>
      <c r="K529" s="535"/>
      <c r="L529" s="535"/>
      <c r="M529" s="535"/>
      <c r="N529" s="535"/>
      <c r="O529" s="535"/>
      <c r="P529" s="534"/>
      <c r="Q529" s="534"/>
      <c r="R529" s="534"/>
      <c r="S529" s="534"/>
      <c r="T529" s="534"/>
      <c r="U529" s="534"/>
      <c r="V529" s="534"/>
      <c r="W529" s="534"/>
      <c r="X529" s="534"/>
      <c r="Y529" s="534"/>
      <c r="Z529" s="534"/>
      <c r="AA529" s="534"/>
      <c r="AB529" s="534"/>
      <c r="AC529" s="534"/>
      <c r="AD529" s="534"/>
    </row>
    <row r="530" spans="1:30" x14ac:dyDescent="0.2">
      <c r="A530" s="533" t="s">
        <v>1120</v>
      </c>
      <c r="B530" s="533">
        <v>2500</v>
      </c>
      <c r="C530" s="533">
        <v>1000</v>
      </c>
      <c r="D530" s="542" t="str">
        <f t="shared" si="18"/>
        <v>KVV25001000</v>
      </c>
      <c r="E530" s="907">
        <f t="shared" si="19"/>
        <v>1205.3823750000001</v>
      </c>
      <c r="F530" s="534">
        <v>15</v>
      </c>
      <c r="G530" s="535">
        <f>F530*CCBASE!$B$51</f>
        <v>540</v>
      </c>
      <c r="H530" s="535"/>
      <c r="I530" s="535"/>
      <c r="J530" s="535">
        <f>CCBASE!$I$26*B530/1000</f>
        <v>665.38237500000014</v>
      </c>
      <c r="K530" s="535"/>
      <c r="L530" s="535"/>
      <c r="M530" s="535"/>
      <c r="N530" s="535"/>
      <c r="O530" s="535"/>
      <c r="P530" s="534"/>
      <c r="Q530" s="534"/>
      <c r="R530" s="534"/>
      <c r="S530" s="534"/>
      <c r="T530" s="534"/>
      <c r="U530" s="534"/>
      <c r="V530" s="534"/>
      <c r="W530" s="534"/>
      <c r="X530" s="534"/>
      <c r="Y530" s="534"/>
      <c r="Z530" s="534"/>
      <c r="AA530" s="534"/>
      <c r="AB530" s="534"/>
      <c r="AC530" s="534"/>
      <c r="AD530" s="534"/>
    </row>
    <row r="531" spans="1:30" x14ac:dyDescent="0.2">
      <c r="A531" s="533" t="s">
        <v>1120</v>
      </c>
      <c r="B531" s="533">
        <v>2750</v>
      </c>
      <c r="C531" s="533">
        <v>1000</v>
      </c>
      <c r="D531" s="542" t="str">
        <f t="shared" si="18"/>
        <v>KVV27501000</v>
      </c>
      <c r="E531" s="907">
        <f t="shared" si="19"/>
        <v>1271.9206125000001</v>
      </c>
      <c r="F531" s="534">
        <v>15</v>
      </c>
      <c r="G531" s="535">
        <f>F531*CCBASE!$B$51</f>
        <v>540</v>
      </c>
      <c r="H531" s="535"/>
      <c r="I531" s="535"/>
      <c r="J531" s="535">
        <f>CCBASE!$I$26*B531/1000</f>
        <v>731.92061250000006</v>
      </c>
      <c r="K531" s="535"/>
      <c r="L531" s="535"/>
      <c r="M531" s="535"/>
      <c r="N531" s="535"/>
      <c r="O531" s="535"/>
      <c r="P531" s="534"/>
      <c r="Q531" s="534"/>
      <c r="R531" s="534"/>
      <c r="S531" s="534"/>
      <c r="T531" s="534"/>
      <c r="U531" s="534"/>
      <c r="V531" s="534"/>
      <c r="W531" s="534"/>
      <c r="X531" s="534"/>
      <c r="Y531" s="534"/>
      <c r="Z531" s="534"/>
      <c r="AA531" s="534"/>
      <c r="AB531" s="534"/>
      <c r="AC531" s="534"/>
      <c r="AD531" s="534"/>
    </row>
    <row r="532" spans="1:30" x14ac:dyDescent="0.2">
      <c r="A532" s="533" t="s">
        <v>1120</v>
      </c>
      <c r="B532" s="533">
        <v>3000</v>
      </c>
      <c r="C532" s="533">
        <v>1000</v>
      </c>
      <c r="D532" s="542" t="str">
        <f t="shared" si="18"/>
        <v>KVV30001000</v>
      </c>
      <c r="E532" s="907">
        <f t="shared" si="19"/>
        <v>1338.45885</v>
      </c>
      <c r="F532" s="534">
        <v>15</v>
      </c>
      <c r="G532" s="535">
        <f>F532*CCBASE!$B$51</f>
        <v>540</v>
      </c>
      <c r="H532" s="535"/>
      <c r="I532" s="535"/>
      <c r="J532" s="535">
        <f>CCBASE!$I$26*B532/1000</f>
        <v>798.4588500000001</v>
      </c>
      <c r="K532" s="535"/>
      <c r="L532" s="535"/>
      <c r="M532" s="535"/>
      <c r="N532" s="535"/>
      <c r="O532" s="535"/>
      <c r="P532" s="534"/>
      <c r="Q532" s="534"/>
      <c r="R532" s="534"/>
      <c r="S532" s="534"/>
      <c r="T532" s="534"/>
      <c r="U532" s="534"/>
      <c r="V532" s="534"/>
      <c r="W532" s="534"/>
      <c r="X532" s="534"/>
      <c r="Y532" s="534"/>
      <c r="Z532" s="534"/>
      <c r="AA532" s="534"/>
      <c r="AB532" s="534"/>
      <c r="AC532" s="534"/>
      <c r="AD532" s="534"/>
    </row>
    <row r="533" spans="1:30" x14ac:dyDescent="0.2">
      <c r="A533" s="533" t="s">
        <v>1120</v>
      </c>
      <c r="B533" s="533">
        <v>1000</v>
      </c>
      <c r="C533" s="533">
        <v>1250</v>
      </c>
      <c r="D533" s="542" t="str">
        <f t="shared" si="18"/>
        <v>KVV10001250</v>
      </c>
      <c r="E533" s="907">
        <f t="shared" si="19"/>
        <v>691.21255999999994</v>
      </c>
      <c r="F533" s="534">
        <v>10</v>
      </c>
      <c r="G533" s="535">
        <f>F533*CCBASE!$B$51</f>
        <v>360</v>
      </c>
      <c r="H533" s="535"/>
      <c r="I533" s="535"/>
      <c r="J533" s="535">
        <f>CCBASE!$I$27*B533/1000</f>
        <v>331.21256</v>
      </c>
      <c r="K533" s="535"/>
      <c r="L533" s="535"/>
      <c r="M533" s="535"/>
      <c r="N533" s="535"/>
      <c r="O533" s="535"/>
      <c r="P533" s="534"/>
      <c r="Q533" s="534"/>
      <c r="R533" s="534"/>
      <c r="S533" s="534"/>
      <c r="T533" s="534"/>
      <c r="U533" s="534"/>
      <c r="V533" s="534"/>
      <c r="W533" s="534"/>
      <c r="X533" s="534"/>
      <c r="Y533" s="534"/>
      <c r="Z533" s="534"/>
      <c r="AA533" s="534"/>
      <c r="AB533" s="534"/>
      <c r="AC533" s="534"/>
      <c r="AD533" s="534"/>
    </row>
    <row r="534" spans="1:30" x14ac:dyDescent="0.2">
      <c r="A534" s="533" t="s">
        <v>1120</v>
      </c>
      <c r="B534" s="533">
        <v>1250</v>
      </c>
      <c r="C534" s="533">
        <v>1250</v>
      </c>
      <c r="D534" s="542" t="str">
        <f t="shared" si="18"/>
        <v>KVV12501250</v>
      </c>
      <c r="E534" s="907">
        <f t="shared" si="19"/>
        <v>774.01570000000004</v>
      </c>
      <c r="F534" s="534">
        <v>10</v>
      </c>
      <c r="G534" s="535">
        <f>F534*CCBASE!$B$51</f>
        <v>360</v>
      </c>
      <c r="H534" s="535"/>
      <c r="I534" s="535"/>
      <c r="J534" s="535">
        <f>CCBASE!$I$27*B534/1000</f>
        <v>414.01570000000004</v>
      </c>
      <c r="K534" s="535"/>
      <c r="L534" s="535"/>
      <c r="M534" s="535"/>
      <c r="N534" s="535"/>
      <c r="O534" s="535"/>
      <c r="P534" s="534"/>
      <c r="Q534" s="534"/>
      <c r="R534" s="534"/>
      <c r="S534" s="534"/>
      <c r="T534" s="534"/>
      <c r="U534" s="534"/>
      <c r="V534" s="534"/>
      <c r="W534" s="534"/>
      <c r="X534" s="534"/>
      <c r="Y534" s="534"/>
      <c r="Z534" s="534"/>
      <c r="AA534" s="534"/>
      <c r="AB534" s="534"/>
      <c r="AC534" s="534"/>
      <c r="AD534" s="534"/>
    </row>
    <row r="535" spans="1:30" x14ac:dyDescent="0.2">
      <c r="A535" s="533" t="s">
        <v>1120</v>
      </c>
      <c r="B535" s="533">
        <v>1500</v>
      </c>
      <c r="C535" s="533">
        <v>1250</v>
      </c>
      <c r="D535" s="542" t="str">
        <f t="shared" si="18"/>
        <v>KVV15001250</v>
      </c>
      <c r="E535" s="907">
        <f t="shared" si="19"/>
        <v>856.81883999999991</v>
      </c>
      <c r="F535" s="534">
        <v>10</v>
      </c>
      <c r="G535" s="535">
        <f>F535*CCBASE!$B$51</f>
        <v>360</v>
      </c>
      <c r="H535" s="535"/>
      <c r="I535" s="535"/>
      <c r="J535" s="535">
        <f>CCBASE!$I$27*B535/1000</f>
        <v>496.81883999999997</v>
      </c>
      <c r="K535" s="535"/>
      <c r="L535" s="535"/>
      <c r="M535" s="535"/>
      <c r="N535" s="535"/>
      <c r="O535" s="535"/>
      <c r="P535" s="534"/>
      <c r="Q535" s="534"/>
      <c r="R535" s="534"/>
      <c r="S535" s="534"/>
      <c r="T535" s="534"/>
      <c r="U535" s="534"/>
      <c r="V535" s="534"/>
      <c r="W535" s="534"/>
      <c r="X535" s="534"/>
      <c r="Y535" s="534"/>
      <c r="Z535" s="534"/>
      <c r="AA535" s="534"/>
      <c r="AB535" s="534"/>
      <c r="AC535" s="534"/>
      <c r="AD535" s="534"/>
    </row>
    <row r="536" spans="1:30" x14ac:dyDescent="0.2">
      <c r="A536" s="533" t="s">
        <v>1120</v>
      </c>
      <c r="B536" s="533">
        <v>1750</v>
      </c>
      <c r="C536" s="533">
        <v>1250</v>
      </c>
      <c r="D536" s="542" t="str">
        <f t="shared" si="18"/>
        <v>KVV17501250</v>
      </c>
      <c r="E536" s="907">
        <f t="shared" si="19"/>
        <v>1011.62198</v>
      </c>
      <c r="F536" s="534">
        <v>12</v>
      </c>
      <c r="G536" s="535">
        <f>F536*CCBASE!$B$51</f>
        <v>432</v>
      </c>
      <c r="H536" s="535"/>
      <c r="I536" s="535"/>
      <c r="J536" s="535">
        <f>CCBASE!$I$27*B536/1000</f>
        <v>579.62198000000001</v>
      </c>
      <c r="K536" s="535"/>
      <c r="L536" s="535"/>
      <c r="M536" s="535"/>
      <c r="N536" s="535"/>
      <c r="O536" s="535"/>
      <c r="P536" s="534"/>
      <c r="Q536" s="534"/>
      <c r="R536" s="534"/>
      <c r="S536" s="534"/>
      <c r="T536" s="534"/>
      <c r="U536" s="534"/>
      <c r="V536" s="534"/>
      <c r="W536" s="534"/>
      <c r="X536" s="534"/>
      <c r="Y536" s="534"/>
      <c r="Z536" s="534"/>
      <c r="AA536" s="534"/>
      <c r="AB536" s="534"/>
      <c r="AC536" s="534"/>
      <c r="AD536" s="534"/>
    </row>
    <row r="537" spans="1:30" x14ac:dyDescent="0.2">
      <c r="A537" s="533" t="s">
        <v>1120</v>
      </c>
      <c r="B537" s="533">
        <v>2000</v>
      </c>
      <c r="C537" s="533">
        <v>1250</v>
      </c>
      <c r="D537" s="542" t="str">
        <f t="shared" si="18"/>
        <v>KVV20001250</v>
      </c>
      <c r="E537" s="907">
        <f t="shared" si="19"/>
        <v>1094.4251199999999</v>
      </c>
      <c r="F537" s="534">
        <v>12</v>
      </c>
      <c r="G537" s="535">
        <f>F537*CCBASE!$B$51</f>
        <v>432</v>
      </c>
      <c r="H537" s="535"/>
      <c r="I537" s="535"/>
      <c r="J537" s="535">
        <f>CCBASE!$I$27*B537/1000</f>
        <v>662.42511999999999</v>
      </c>
      <c r="K537" s="535"/>
      <c r="L537" s="535"/>
      <c r="M537" s="535"/>
      <c r="N537" s="535"/>
      <c r="O537" s="535"/>
      <c r="P537" s="534"/>
      <c r="Q537" s="534"/>
      <c r="R537" s="534"/>
      <c r="S537" s="534"/>
      <c r="T537" s="534"/>
      <c r="U537" s="534"/>
      <c r="V537" s="534"/>
      <c r="W537" s="534"/>
      <c r="X537" s="534"/>
      <c r="Y537" s="534"/>
      <c r="Z537" s="534"/>
      <c r="AA537" s="534"/>
      <c r="AB537" s="534"/>
      <c r="AC537" s="534"/>
      <c r="AD537" s="534"/>
    </row>
    <row r="538" spans="1:30" x14ac:dyDescent="0.2">
      <c r="A538" s="533" t="s">
        <v>1120</v>
      </c>
      <c r="B538" s="533">
        <v>2250</v>
      </c>
      <c r="C538" s="533">
        <v>1250</v>
      </c>
      <c r="D538" s="542" t="str">
        <f t="shared" si="18"/>
        <v>KVV22501250</v>
      </c>
      <c r="E538" s="907">
        <f t="shared" si="19"/>
        <v>1177.2282599999999</v>
      </c>
      <c r="F538" s="534">
        <v>12</v>
      </c>
      <c r="G538" s="535">
        <f>F538*CCBASE!$B$51</f>
        <v>432</v>
      </c>
      <c r="H538" s="535"/>
      <c r="I538" s="535"/>
      <c r="J538" s="535">
        <f>CCBASE!$I$27*B538/1000</f>
        <v>745.22825999999998</v>
      </c>
      <c r="K538" s="535"/>
      <c r="L538" s="535"/>
      <c r="M538" s="535"/>
      <c r="N538" s="535"/>
      <c r="O538" s="535"/>
      <c r="P538" s="534"/>
      <c r="Q538" s="534"/>
      <c r="R538" s="534"/>
      <c r="S538" s="534"/>
      <c r="T538" s="534"/>
      <c r="U538" s="534"/>
      <c r="V538" s="534"/>
      <c r="W538" s="534"/>
      <c r="X538" s="534"/>
      <c r="Y538" s="534"/>
      <c r="Z538" s="534"/>
      <c r="AA538" s="534"/>
      <c r="AB538" s="534"/>
      <c r="AC538" s="534"/>
      <c r="AD538" s="534"/>
    </row>
    <row r="539" spans="1:30" x14ac:dyDescent="0.2">
      <c r="A539" s="533" t="s">
        <v>1120</v>
      </c>
      <c r="B539" s="533">
        <v>2500</v>
      </c>
      <c r="C539" s="533">
        <v>1250</v>
      </c>
      <c r="D539" s="542" t="str">
        <f t="shared" si="18"/>
        <v>KVV25001250</v>
      </c>
      <c r="E539" s="907">
        <f t="shared" si="19"/>
        <v>1368.0314000000001</v>
      </c>
      <c r="F539" s="534">
        <v>15</v>
      </c>
      <c r="G539" s="535">
        <f>F539*CCBASE!$B$51</f>
        <v>540</v>
      </c>
      <c r="H539" s="535"/>
      <c r="I539" s="535"/>
      <c r="J539" s="535">
        <f>CCBASE!$I$27*B539/1000</f>
        <v>828.03140000000008</v>
      </c>
      <c r="K539" s="535"/>
      <c r="L539" s="535"/>
      <c r="M539" s="535"/>
      <c r="N539" s="535"/>
      <c r="O539" s="535"/>
      <c r="P539" s="534"/>
      <c r="Q539" s="534"/>
      <c r="R539" s="534"/>
      <c r="S539" s="534"/>
      <c r="T539" s="534"/>
      <c r="U539" s="534"/>
      <c r="V539" s="534"/>
      <c r="W539" s="534"/>
      <c r="X539" s="534"/>
      <c r="Y539" s="534"/>
      <c r="Z539" s="534"/>
      <c r="AA539" s="534"/>
      <c r="AB539" s="534"/>
      <c r="AC539" s="534"/>
      <c r="AD539" s="534"/>
    </row>
    <row r="540" spans="1:30" x14ac:dyDescent="0.2">
      <c r="A540" s="533" t="s">
        <v>1120</v>
      </c>
      <c r="B540" s="533">
        <v>2750</v>
      </c>
      <c r="C540" s="533">
        <v>1250</v>
      </c>
      <c r="D540" s="542" t="str">
        <f t="shared" si="18"/>
        <v>KVV27501250</v>
      </c>
      <c r="E540" s="907">
        <f t="shared" si="19"/>
        <v>1450.8345400000001</v>
      </c>
      <c r="F540" s="534">
        <v>15</v>
      </c>
      <c r="G540" s="535">
        <f>F540*CCBASE!$B$51</f>
        <v>540</v>
      </c>
      <c r="H540" s="535"/>
      <c r="I540" s="535"/>
      <c r="J540" s="535">
        <f>CCBASE!$I$27*B540/1000</f>
        <v>910.83454000000006</v>
      </c>
      <c r="K540" s="535"/>
      <c r="L540" s="535"/>
      <c r="M540" s="535"/>
      <c r="N540" s="535"/>
      <c r="O540" s="535"/>
      <c r="P540" s="534"/>
      <c r="Q540" s="534"/>
      <c r="R540" s="534"/>
      <c r="S540" s="534"/>
      <c r="T540" s="534"/>
      <c r="U540" s="534"/>
      <c r="V540" s="534"/>
      <c r="W540" s="534"/>
      <c r="X540" s="534"/>
      <c r="Y540" s="534"/>
      <c r="Z540" s="534"/>
      <c r="AA540" s="534"/>
      <c r="AB540" s="534"/>
      <c r="AC540" s="534"/>
      <c r="AD540" s="534"/>
    </row>
    <row r="541" spans="1:30" x14ac:dyDescent="0.2">
      <c r="A541" s="533" t="s">
        <v>1120</v>
      </c>
      <c r="B541" s="533">
        <v>3000</v>
      </c>
      <c r="C541" s="533">
        <v>1250</v>
      </c>
      <c r="D541" s="542" t="str">
        <f t="shared" si="18"/>
        <v>KVV30001250</v>
      </c>
      <c r="E541" s="907">
        <f t="shared" si="19"/>
        <v>1533.6376799999998</v>
      </c>
      <c r="F541" s="534">
        <v>15</v>
      </c>
      <c r="G541" s="535">
        <f>F541*CCBASE!$B$51</f>
        <v>540</v>
      </c>
      <c r="H541" s="535"/>
      <c r="I541" s="535"/>
      <c r="J541" s="535">
        <f>CCBASE!$I$27*B541/1000</f>
        <v>993.63767999999993</v>
      </c>
      <c r="K541" s="535"/>
      <c r="L541" s="535"/>
      <c r="M541" s="535"/>
      <c r="N541" s="535"/>
      <c r="O541" s="535"/>
      <c r="P541" s="534"/>
      <c r="Q541" s="534"/>
      <c r="R541" s="534"/>
      <c r="S541" s="534"/>
      <c r="T541" s="534"/>
      <c r="U541" s="534"/>
      <c r="V541" s="534"/>
      <c r="W541" s="534"/>
      <c r="X541" s="534"/>
      <c r="Y541" s="534"/>
      <c r="Z541" s="534"/>
      <c r="AA541" s="534"/>
      <c r="AB541" s="534"/>
      <c r="AC541" s="534"/>
      <c r="AD541" s="534"/>
    </row>
    <row r="542" spans="1:30" x14ac:dyDescent="0.2">
      <c r="A542" s="533" t="s">
        <v>1120</v>
      </c>
      <c r="B542" s="533">
        <v>1000</v>
      </c>
      <c r="C542" s="533">
        <v>1500</v>
      </c>
      <c r="D542" s="542" t="str">
        <f t="shared" si="18"/>
        <v>KVV10001500</v>
      </c>
      <c r="E542" s="907">
        <f t="shared" si="19"/>
        <v>759.22942499999999</v>
      </c>
      <c r="F542" s="534">
        <v>10</v>
      </c>
      <c r="G542" s="535">
        <f>F542*CCBASE!$B$51</f>
        <v>360</v>
      </c>
      <c r="H542" s="535"/>
      <c r="I542" s="535"/>
      <c r="J542" s="535">
        <f>CCBASE!$I$28*B542/1000</f>
        <v>399.22942499999999</v>
      </c>
      <c r="K542" s="535"/>
      <c r="L542" s="535"/>
      <c r="M542" s="535"/>
      <c r="N542" s="535"/>
      <c r="O542" s="535"/>
      <c r="P542" s="534"/>
      <c r="Q542" s="534"/>
      <c r="R542" s="534"/>
      <c r="S542" s="534"/>
      <c r="T542" s="534"/>
      <c r="U542" s="534"/>
      <c r="V542" s="534"/>
      <c r="W542" s="534"/>
      <c r="X542" s="534"/>
      <c r="Y542" s="534"/>
      <c r="Z542" s="534"/>
      <c r="AA542" s="534"/>
      <c r="AB542" s="534"/>
      <c r="AC542" s="534"/>
      <c r="AD542" s="534"/>
    </row>
    <row r="543" spans="1:30" x14ac:dyDescent="0.2">
      <c r="A543" s="533" t="s">
        <v>1120</v>
      </c>
      <c r="B543" s="533">
        <v>1250</v>
      </c>
      <c r="C543" s="533">
        <v>1500</v>
      </c>
      <c r="D543" s="542" t="str">
        <f t="shared" si="18"/>
        <v>KVV12501500</v>
      </c>
      <c r="E543" s="907">
        <f t="shared" si="19"/>
        <v>859.03678124999999</v>
      </c>
      <c r="F543" s="534">
        <v>10</v>
      </c>
      <c r="G543" s="535">
        <f>F543*CCBASE!$B$51</f>
        <v>360</v>
      </c>
      <c r="H543" s="535"/>
      <c r="I543" s="535"/>
      <c r="J543" s="535">
        <f>CCBASE!$I$28*B543/1000</f>
        <v>499.03678124999999</v>
      </c>
      <c r="K543" s="535"/>
      <c r="L543" s="535"/>
      <c r="M543" s="535"/>
      <c r="N543" s="535"/>
      <c r="O543" s="535"/>
      <c r="P543" s="534"/>
      <c r="Q543" s="534"/>
      <c r="R543" s="534"/>
      <c r="S543" s="534"/>
      <c r="T543" s="534"/>
      <c r="U543" s="534"/>
      <c r="V543" s="534"/>
      <c r="W543" s="534"/>
      <c r="X543" s="534"/>
      <c r="Y543" s="534"/>
      <c r="Z543" s="534"/>
      <c r="AA543" s="534"/>
      <c r="AB543" s="534"/>
      <c r="AC543" s="534"/>
      <c r="AD543" s="534"/>
    </row>
    <row r="544" spans="1:30" x14ac:dyDescent="0.2">
      <c r="A544" s="533" t="s">
        <v>1120</v>
      </c>
      <c r="B544" s="533">
        <v>1500</v>
      </c>
      <c r="C544" s="533">
        <v>1500</v>
      </c>
      <c r="D544" s="542" t="str">
        <f t="shared" ref="D544:D607" si="20">$A544&amp;B544&amp;C544</f>
        <v>KVV15001500</v>
      </c>
      <c r="E544" s="907">
        <f t="shared" si="19"/>
        <v>958.84413749999999</v>
      </c>
      <c r="F544" s="534">
        <v>10</v>
      </c>
      <c r="G544" s="535">
        <f>F544*CCBASE!$B$51</f>
        <v>360</v>
      </c>
      <c r="H544" s="535"/>
      <c r="I544" s="535"/>
      <c r="J544" s="535">
        <f>CCBASE!$I$28*B544/1000</f>
        <v>598.84413749999999</v>
      </c>
      <c r="K544" s="535"/>
      <c r="L544" s="535"/>
      <c r="M544" s="535"/>
      <c r="N544" s="535"/>
      <c r="O544" s="535"/>
      <c r="P544" s="534"/>
      <c r="Q544" s="534"/>
      <c r="R544" s="534"/>
      <c r="S544" s="534"/>
      <c r="T544" s="534"/>
      <c r="U544" s="534"/>
      <c r="V544" s="534"/>
      <c r="W544" s="534"/>
      <c r="X544" s="534"/>
      <c r="Y544" s="534"/>
      <c r="Z544" s="534"/>
      <c r="AA544" s="534"/>
      <c r="AB544" s="534"/>
      <c r="AC544" s="534"/>
      <c r="AD544" s="534"/>
    </row>
    <row r="545" spans="1:30" x14ac:dyDescent="0.2">
      <c r="A545" s="533" t="s">
        <v>1120</v>
      </c>
      <c r="B545" s="533">
        <v>1750</v>
      </c>
      <c r="C545" s="533">
        <v>1500</v>
      </c>
      <c r="D545" s="542" t="str">
        <f t="shared" si="20"/>
        <v>KVV17501500</v>
      </c>
      <c r="E545" s="907">
        <f t="shared" si="19"/>
        <v>1130.6514937500001</v>
      </c>
      <c r="F545" s="534">
        <v>12</v>
      </c>
      <c r="G545" s="535">
        <f>F545*CCBASE!$B$51</f>
        <v>432</v>
      </c>
      <c r="H545" s="535"/>
      <c r="I545" s="535"/>
      <c r="J545" s="535">
        <f>CCBASE!$I$28*B545/1000</f>
        <v>698.65149374999999</v>
      </c>
      <c r="K545" s="535"/>
      <c r="L545" s="535"/>
      <c r="M545" s="535"/>
      <c r="N545" s="535"/>
      <c r="O545" s="535"/>
      <c r="P545" s="534"/>
      <c r="Q545" s="534"/>
      <c r="R545" s="534"/>
      <c r="S545" s="534"/>
      <c r="T545" s="534"/>
      <c r="U545" s="534"/>
      <c r="V545" s="534"/>
      <c r="W545" s="534"/>
      <c r="X545" s="534"/>
      <c r="Y545" s="534"/>
      <c r="Z545" s="534"/>
      <c r="AA545" s="534"/>
      <c r="AB545" s="534"/>
      <c r="AC545" s="534"/>
      <c r="AD545" s="534"/>
    </row>
    <row r="546" spans="1:30" x14ac:dyDescent="0.2">
      <c r="A546" s="533" t="s">
        <v>1120</v>
      </c>
      <c r="B546" s="533">
        <v>2000</v>
      </c>
      <c r="C546" s="533">
        <v>1500</v>
      </c>
      <c r="D546" s="542" t="str">
        <f t="shared" si="20"/>
        <v>KVV20001500</v>
      </c>
      <c r="E546" s="907">
        <f t="shared" si="19"/>
        <v>1230.45885</v>
      </c>
      <c r="F546" s="534">
        <v>12</v>
      </c>
      <c r="G546" s="535">
        <f>F546*CCBASE!$B$51</f>
        <v>432</v>
      </c>
      <c r="H546" s="535"/>
      <c r="I546" s="535"/>
      <c r="J546" s="535">
        <f>CCBASE!$I$28*B546/1000</f>
        <v>798.45884999999998</v>
      </c>
      <c r="K546" s="535"/>
      <c r="L546" s="535"/>
      <c r="M546" s="535"/>
      <c r="N546" s="535"/>
      <c r="O546" s="535"/>
      <c r="P546" s="534"/>
      <c r="Q546" s="534"/>
      <c r="R546" s="534"/>
      <c r="S546" s="534"/>
      <c r="T546" s="534"/>
      <c r="U546" s="534"/>
      <c r="V546" s="534"/>
      <c r="W546" s="534"/>
      <c r="X546" s="534"/>
      <c r="Y546" s="534"/>
      <c r="Z546" s="534"/>
      <c r="AA546" s="534"/>
      <c r="AB546" s="534"/>
      <c r="AC546" s="534"/>
      <c r="AD546" s="534"/>
    </row>
    <row r="547" spans="1:30" x14ac:dyDescent="0.2">
      <c r="A547" s="533" t="s">
        <v>1120</v>
      </c>
      <c r="B547" s="533">
        <v>2250</v>
      </c>
      <c r="C547" s="533">
        <v>1500</v>
      </c>
      <c r="D547" s="542" t="str">
        <f t="shared" si="20"/>
        <v>KVV22501500</v>
      </c>
      <c r="E547" s="907">
        <f t="shared" si="19"/>
        <v>1330.2662062499999</v>
      </c>
      <c r="F547" s="534">
        <v>12</v>
      </c>
      <c r="G547" s="535">
        <f>F547*CCBASE!$B$51</f>
        <v>432</v>
      </c>
      <c r="H547" s="535"/>
      <c r="I547" s="535"/>
      <c r="J547" s="535">
        <f>CCBASE!$I$28*B547/1000</f>
        <v>898.26620624999998</v>
      </c>
      <c r="K547" s="535"/>
      <c r="L547" s="535"/>
      <c r="M547" s="535"/>
      <c r="N547" s="535"/>
      <c r="O547" s="535"/>
      <c r="P547" s="534"/>
      <c r="Q547" s="534"/>
      <c r="R547" s="534"/>
      <c r="S547" s="534"/>
      <c r="T547" s="534"/>
      <c r="U547" s="534"/>
      <c r="V547" s="534"/>
      <c r="W547" s="534"/>
      <c r="X547" s="534"/>
      <c r="Y547" s="534"/>
      <c r="Z547" s="534"/>
      <c r="AA547" s="534"/>
      <c r="AB547" s="534"/>
      <c r="AC547" s="534"/>
      <c r="AD547" s="534"/>
    </row>
    <row r="548" spans="1:30" x14ac:dyDescent="0.2">
      <c r="A548" s="533" t="s">
        <v>1120</v>
      </c>
      <c r="B548" s="533">
        <v>2500</v>
      </c>
      <c r="C548" s="533">
        <v>1500</v>
      </c>
      <c r="D548" s="542" t="str">
        <f t="shared" si="20"/>
        <v>KVV25001500</v>
      </c>
      <c r="E548" s="907">
        <f t="shared" si="19"/>
        <v>1538.0735625</v>
      </c>
      <c r="F548" s="534">
        <v>15</v>
      </c>
      <c r="G548" s="535">
        <f>F548*CCBASE!$B$51</f>
        <v>540</v>
      </c>
      <c r="H548" s="535"/>
      <c r="I548" s="535"/>
      <c r="J548" s="535">
        <f>CCBASE!$I$28*B548/1000</f>
        <v>998.07356249999998</v>
      </c>
      <c r="K548" s="535"/>
      <c r="L548" s="535"/>
      <c r="M548" s="535"/>
      <c r="N548" s="535"/>
      <c r="O548" s="535"/>
      <c r="P548" s="534"/>
      <c r="Q548" s="534"/>
      <c r="R548" s="534"/>
      <c r="S548" s="534"/>
      <c r="T548" s="534"/>
      <c r="U548" s="534"/>
      <c r="V548" s="534"/>
      <c r="W548" s="534"/>
      <c r="X548" s="534"/>
      <c r="Y548" s="534"/>
      <c r="Z548" s="534"/>
      <c r="AA548" s="534"/>
      <c r="AB548" s="534"/>
      <c r="AC548" s="534"/>
      <c r="AD548" s="534"/>
    </row>
    <row r="549" spans="1:30" x14ac:dyDescent="0.2">
      <c r="A549" s="533" t="s">
        <v>1120</v>
      </c>
      <c r="B549" s="533">
        <v>2750</v>
      </c>
      <c r="C549" s="533">
        <v>1500</v>
      </c>
      <c r="D549" s="542" t="str">
        <f t="shared" si="20"/>
        <v>KVV27501500</v>
      </c>
      <c r="E549" s="907">
        <f t="shared" si="19"/>
        <v>1637.8809187499999</v>
      </c>
      <c r="F549" s="534">
        <v>15</v>
      </c>
      <c r="G549" s="535">
        <f>F549*CCBASE!$B$51</f>
        <v>540</v>
      </c>
      <c r="H549" s="535"/>
      <c r="I549" s="535"/>
      <c r="J549" s="535">
        <f>CCBASE!$I$28*B549/1000</f>
        <v>1097.8809187499999</v>
      </c>
      <c r="K549" s="535"/>
      <c r="L549" s="535"/>
      <c r="M549" s="535"/>
      <c r="N549" s="535"/>
      <c r="O549" s="535"/>
      <c r="P549" s="534"/>
      <c r="Q549" s="534"/>
      <c r="R549" s="534"/>
      <c r="S549" s="534"/>
      <c r="T549" s="534"/>
      <c r="U549" s="534"/>
      <c r="V549" s="534"/>
      <c r="W549" s="534"/>
      <c r="X549" s="534"/>
      <c r="Y549" s="534"/>
      <c r="Z549" s="534"/>
      <c r="AA549" s="534"/>
      <c r="AB549" s="534"/>
      <c r="AC549" s="534"/>
      <c r="AD549" s="534"/>
    </row>
    <row r="550" spans="1:30" x14ac:dyDescent="0.2">
      <c r="A550" s="533" t="s">
        <v>1120</v>
      </c>
      <c r="B550" s="533">
        <v>3000</v>
      </c>
      <c r="C550" s="533">
        <v>1500</v>
      </c>
      <c r="D550" s="542" t="str">
        <f t="shared" si="20"/>
        <v>KVV30001500</v>
      </c>
      <c r="E550" s="907">
        <f t="shared" si="19"/>
        <v>1737.688275</v>
      </c>
      <c r="F550" s="534">
        <v>15</v>
      </c>
      <c r="G550" s="535">
        <f>F550*CCBASE!$B$51</f>
        <v>540</v>
      </c>
      <c r="H550" s="535"/>
      <c r="I550" s="535"/>
      <c r="J550" s="535">
        <f>CCBASE!$I$28*B550/1000</f>
        <v>1197.688275</v>
      </c>
      <c r="K550" s="535"/>
      <c r="L550" s="535"/>
      <c r="M550" s="535"/>
      <c r="N550" s="535"/>
      <c r="O550" s="535"/>
      <c r="P550" s="534"/>
      <c r="Q550" s="534"/>
      <c r="R550" s="534"/>
      <c r="S550" s="534"/>
      <c r="T550" s="534"/>
      <c r="U550" s="534"/>
      <c r="V550" s="534"/>
      <c r="W550" s="534"/>
      <c r="X550" s="534"/>
      <c r="Y550" s="534"/>
      <c r="Z550" s="534"/>
      <c r="AA550" s="534"/>
      <c r="AB550" s="534"/>
      <c r="AC550" s="534"/>
      <c r="AD550" s="534"/>
    </row>
    <row r="551" spans="1:30" x14ac:dyDescent="0.2">
      <c r="A551" s="533" t="s">
        <v>1120</v>
      </c>
      <c r="B551" s="533">
        <v>1000</v>
      </c>
      <c r="C551" s="533">
        <v>1750</v>
      </c>
      <c r="D551" s="542" t="str">
        <f t="shared" si="20"/>
        <v>KVV10001750</v>
      </c>
      <c r="E551" s="907">
        <f t="shared" si="19"/>
        <v>826.06338800000003</v>
      </c>
      <c r="F551" s="534">
        <v>10</v>
      </c>
      <c r="G551" s="535">
        <f>F551*CCBASE!$B$51</f>
        <v>360</v>
      </c>
      <c r="H551" s="535"/>
      <c r="I551" s="535"/>
      <c r="J551" s="535">
        <f>CCBASE!$I$29*B551/1000</f>
        <v>466.06338799999997</v>
      </c>
      <c r="K551" s="535"/>
      <c r="L551" s="535"/>
      <c r="M551" s="535"/>
      <c r="N551" s="535"/>
      <c r="O551" s="535"/>
      <c r="P551" s="534"/>
      <c r="Q551" s="534"/>
      <c r="R551" s="534"/>
      <c r="S551" s="534"/>
      <c r="T551" s="534"/>
      <c r="U551" s="534"/>
      <c r="V551" s="534"/>
      <c r="W551" s="534"/>
      <c r="X551" s="534"/>
      <c r="Y551" s="534"/>
      <c r="Z551" s="534"/>
      <c r="AA551" s="534"/>
      <c r="AB551" s="534"/>
      <c r="AC551" s="534"/>
      <c r="AD551" s="534"/>
    </row>
    <row r="552" spans="1:30" x14ac:dyDescent="0.2">
      <c r="A552" s="533" t="s">
        <v>1120</v>
      </c>
      <c r="B552" s="533">
        <v>1250</v>
      </c>
      <c r="C552" s="533">
        <v>1750</v>
      </c>
      <c r="D552" s="542" t="str">
        <f t="shared" si="20"/>
        <v>KVV12501750</v>
      </c>
      <c r="E552" s="907">
        <f t="shared" si="19"/>
        <v>942.57923500000004</v>
      </c>
      <c r="F552" s="534">
        <v>10</v>
      </c>
      <c r="G552" s="535">
        <f>F552*CCBASE!$B$51</f>
        <v>360</v>
      </c>
      <c r="H552" s="535"/>
      <c r="I552" s="535"/>
      <c r="J552" s="535">
        <f>CCBASE!$I$29*B552/1000</f>
        <v>582.57923500000004</v>
      </c>
      <c r="K552" s="535"/>
      <c r="L552" s="535"/>
      <c r="M552" s="535"/>
      <c r="N552" s="535"/>
      <c r="O552" s="535"/>
      <c r="P552" s="534"/>
      <c r="Q552" s="534"/>
      <c r="R552" s="534"/>
      <c r="S552" s="534"/>
      <c r="T552" s="534"/>
      <c r="U552" s="534"/>
      <c r="V552" s="534"/>
      <c r="W552" s="534"/>
      <c r="X552" s="534"/>
      <c r="Y552" s="534"/>
      <c r="Z552" s="534"/>
      <c r="AA552" s="534"/>
      <c r="AB552" s="534"/>
      <c r="AC552" s="534"/>
      <c r="AD552" s="534"/>
    </row>
    <row r="553" spans="1:30" x14ac:dyDescent="0.2">
      <c r="A553" s="533" t="s">
        <v>1120</v>
      </c>
      <c r="B553" s="533">
        <v>1500</v>
      </c>
      <c r="C553" s="533">
        <v>1750</v>
      </c>
      <c r="D553" s="542" t="str">
        <f t="shared" si="20"/>
        <v>KVV15001750</v>
      </c>
      <c r="E553" s="907">
        <f t="shared" si="19"/>
        <v>1059.0950819999998</v>
      </c>
      <c r="F553" s="534">
        <v>10</v>
      </c>
      <c r="G553" s="535">
        <f>F553*CCBASE!$B$51</f>
        <v>360</v>
      </c>
      <c r="H553" s="535"/>
      <c r="I553" s="535"/>
      <c r="J553" s="535">
        <f>CCBASE!$I$29*B553/1000</f>
        <v>699.09508199999993</v>
      </c>
      <c r="K553" s="535"/>
      <c r="L553" s="535"/>
      <c r="M553" s="535"/>
      <c r="N553" s="535"/>
      <c r="O553" s="535"/>
      <c r="P553" s="534"/>
      <c r="Q553" s="534"/>
      <c r="R553" s="534"/>
      <c r="S553" s="534"/>
      <c r="T553" s="534"/>
      <c r="U553" s="534"/>
      <c r="V553" s="534"/>
      <c r="W553" s="534"/>
      <c r="X553" s="534"/>
      <c r="Y553" s="534"/>
      <c r="Z553" s="534"/>
      <c r="AA553" s="534"/>
      <c r="AB553" s="534"/>
      <c r="AC553" s="534"/>
      <c r="AD553" s="534"/>
    </row>
    <row r="554" spans="1:30" x14ac:dyDescent="0.2">
      <c r="A554" s="533" t="s">
        <v>1120</v>
      </c>
      <c r="B554" s="533">
        <v>1750</v>
      </c>
      <c r="C554" s="533">
        <v>1750</v>
      </c>
      <c r="D554" s="542" t="str">
        <f t="shared" si="20"/>
        <v>KVV17501750</v>
      </c>
      <c r="E554" s="907">
        <f t="shared" si="19"/>
        <v>1247.6109289999999</v>
      </c>
      <c r="F554" s="534">
        <v>12</v>
      </c>
      <c r="G554" s="535">
        <f>F554*CCBASE!$B$51</f>
        <v>432</v>
      </c>
      <c r="H554" s="535"/>
      <c r="I554" s="535"/>
      <c r="J554" s="535">
        <f>CCBASE!$I$29*B554/1000</f>
        <v>815.61092900000006</v>
      </c>
      <c r="K554" s="535"/>
      <c r="L554" s="535"/>
      <c r="M554" s="535"/>
      <c r="N554" s="535"/>
      <c r="O554" s="535"/>
      <c r="P554" s="534"/>
      <c r="Q554" s="534"/>
      <c r="R554" s="534"/>
      <c r="S554" s="534"/>
      <c r="T554" s="534"/>
      <c r="U554" s="534"/>
      <c r="V554" s="534"/>
      <c r="W554" s="534"/>
      <c r="X554" s="534"/>
      <c r="Y554" s="534"/>
      <c r="Z554" s="534"/>
      <c r="AA554" s="534"/>
      <c r="AB554" s="534"/>
      <c r="AC554" s="534"/>
      <c r="AD554" s="534"/>
    </row>
    <row r="555" spans="1:30" x14ac:dyDescent="0.2">
      <c r="A555" s="533" t="s">
        <v>1120</v>
      </c>
      <c r="B555" s="533">
        <v>2000</v>
      </c>
      <c r="C555" s="533">
        <v>1750</v>
      </c>
      <c r="D555" s="542" t="str">
        <f t="shared" si="20"/>
        <v>KVV20001750</v>
      </c>
      <c r="E555" s="907">
        <f t="shared" si="19"/>
        <v>1364.1267760000001</v>
      </c>
      <c r="F555" s="534">
        <v>12</v>
      </c>
      <c r="G555" s="535">
        <f>F555*CCBASE!$B$51</f>
        <v>432</v>
      </c>
      <c r="H555" s="535"/>
      <c r="I555" s="535"/>
      <c r="J555" s="535">
        <f>CCBASE!$I$29*B555/1000</f>
        <v>932.12677599999995</v>
      </c>
      <c r="K555" s="535"/>
      <c r="L555" s="535"/>
      <c r="M555" s="535"/>
      <c r="N555" s="535"/>
      <c r="O555" s="535"/>
      <c r="P555" s="534"/>
      <c r="Q555" s="534"/>
      <c r="R555" s="534"/>
      <c r="S555" s="534"/>
      <c r="T555" s="534"/>
      <c r="U555" s="534"/>
      <c r="V555" s="534"/>
      <c r="W555" s="534"/>
      <c r="X555" s="534"/>
      <c r="Y555" s="534"/>
      <c r="Z555" s="534"/>
      <c r="AA555" s="534"/>
      <c r="AB555" s="534"/>
      <c r="AC555" s="534"/>
      <c r="AD555" s="534"/>
    </row>
    <row r="556" spans="1:30" x14ac:dyDescent="0.2">
      <c r="A556" s="533" t="s">
        <v>1120</v>
      </c>
      <c r="B556" s="533">
        <v>2250</v>
      </c>
      <c r="C556" s="533">
        <v>1750</v>
      </c>
      <c r="D556" s="542" t="str">
        <f t="shared" si="20"/>
        <v>KVV22501750</v>
      </c>
      <c r="E556" s="907">
        <f t="shared" si="19"/>
        <v>1480.642623</v>
      </c>
      <c r="F556" s="534">
        <v>12</v>
      </c>
      <c r="G556" s="535">
        <f>F556*CCBASE!$B$51</f>
        <v>432</v>
      </c>
      <c r="H556" s="535"/>
      <c r="I556" s="535"/>
      <c r="J556" s="535">
        <f>CCBASE!$I$29*B556/1000</f>
        <v>1048.642623</v>
      </c>
      <c r="K556" s="535"/>
      <c r="L556" s="535"/>
      <c r="M556" s="535"/>
      <c r="N556" s="535"/>
      <c r="O556" s="535"/>
      <c r="P556" s="534"/>
      <c r="Q556" s="534"/>
      <c r="R556" s="534"/>
      <c r="S556" s="534"/>
      <c r="T556" s="534"/>
      <c r="U556" s="534"/>
      <c r="V556" s="534"/>
      <c r="W556" s="534"/>
      <c r="X556" s="534"/>
      <c r="Y556" s="534"/>
      <c r="Z556" s="534"/>
      <c r="AA556" s="534"/>
      <c r="AB556" s="534"/>
      <c r="AC556" s="534"/>
      <c r="AD556" s="534"/>
    </row>
    <row r="557" spans="1:30" x14ac:dyDescent="0.2">
      <c r="A557" s="533" t="s">
        <v>1120</v>
      </c>
      <c r="B557" s="533">
        <v>2500</v>
      </c>
      <c r="C557" s="533">
        <v>1750</v>
      </c>
      <c r="D557" s="542" t="str">
        <f t="shared" si="20"/>
        <v>KVV25001750</v>
      </c>
      <c r="E557" s="907">
        <f t="shared" si="19"/>
        <v>1705.1584700000001</v>
      </c>
      <c r="F557" s="534">
        <v>15</v>
      </c>
      <c r="G557" s="535">
        <f>F557*CCBASE!$B$51</f>
        <v>540</v>
      </c>
      <c r="H557" s="535"/>
      <c r="I557" s="535"/>
      <c r="J557" s="535">
        <f>CCBASE!$I$29*B557/1000</f>
        <v>1165.1584700000001</v>
      </c>
      <c r="K557" s="535"/>
      <c r="L557" s="535"/>
      <c r="M557" s="535"/>
      <c r="N557" s="535"/>
      <c r="O557" s="535"/>
      <c r="P557" s="534"/>
      <c r="Q557" s="534"/>
      <c r="R557" s="534"/>
      <c r="S557" s="534"/>
      <c r="T557" s="534"/>
      <c r="U557" s="534"/>
      <c r="V557" s="534"/>
      <c r="W557" s="534"/>
      <c r="X557" s="534"/>
      <c r="Y557" s="534"/>
      <c r="Z557" s="534"/>
      <c r="AA557" s="534"/>
      <c r="AB557" s="534"/>
      <c r="AC557" s="534"/>
      <c r="AD557" s="534"/>
    </row>
    <row r="558" spans="1:30" x14ac:dyDescent="0.2">
      <c r="A558" s="533" t="s">
        <v>1120</v>
      </c>
      <c r="B558" s="533">
        <v>2750</v>
      </c>
      <c r="C558" s="533">
        <v>1750</v>
      </c>
      <c r="D558" s="542" t="str">
        <f t="shared" si="20"/>
        <v>KVV27501750</v>
      </c>
      <c r="E558" s="907">
        <f t="shared" si="19"/>
        <v>1821.674317</v>
      </c>
      <c r="F558" s="534">
        <v>15</v>
      </c>
      <c r="G558" s="535">
        <f>F558*CCBASE!$B$51</f>
        <v>540</v>
      </c>
      <c r="H558" s="535"/>
      <c r="I558" s="535"/>
      <c r="J558" s="535">
        <f>CCBASE!$I$29*B558/1000</f>
        <v>1281.674317</v>
      </c>
      <c r="K558" s="535"/>
      <c r="L558" s="535"/>
      <c r="M558" s="535"/>
      <c r="N558" s="535"/>
      <c r="O558" s="535"/>
      <c r="P558" s="534"/>
      <c r="Q558" s="534"/>
      <c r="R558" s="534"/>
      <c r="S558" s="534"/>
      <c r="T558" s="534"/>
      <c r="U558" s="534"/>
      <c r="V558" s="534"/>
      <c r="W558" s="534"/>
      <c r="X558" s="534"/>
      <c r="Y558" s="534"/>
      <c r="Z558" s="534"/>
      <c r="AA558" s="534"/>
      <c r="AB558" s="534"/>
      <c r="AC558" s="534"/>
      <c r="AD558" s="534"/>
    </row>
    <row r="559" spans="1:30" x14ac:dyDescent="0.2">
      <c r="A559" s="533" t="s">
        <v>1120</v>
      </c>
      <c r="B559" s="533">
        <v>3000</v>
      </c>
      <c r="C559" s="533">
        <v>1750</v>
      </c>
      <c r="D559" s="542" t="str">
        <f t="shared" si="20"/>
        <v>KVV30001750</v>
      </c>
      <c r="E559" s="907">
        <f t="shared" si="19"/>
        <v>1938.1901639999999</v>
      </c>
      <c r="F559" s="534">
        <v>15</v>
      </c>
      <c r="G559" s="535">
        <f>F559*CCBASE!$B$51</f>
        <v>540</v>
      </c>
      <c r="H559" s="535"/>
      <c r="I559" s="535"/>
      <c r="J559" s="535">
        <f>CCBASE!$I$29*B559/1000</f>
        <v>1398.1901639999999</v>
      </c>
      <c r="K559" s="535"/>
      <c r="L559" s="535"/>
      <c r="M559" s="535"/>
      <c r="N559" s="535"/>
      <c r="O559" s="535"/>
      <c r="P559" s="534"/>
      <c r="Q559" s="534"/>
      <c r="R559" s="534"/>
      <c r="S559" s="534"/>
      <c r="T559" s="534"/>
      <c r="U559" s="534"/>
      <c r="V559" s="534"/>
      <c r="W559" s="534"/>
      <c r="X559" s="534"/>
      <c r="Y559" s="534"/>
      <c r="Z559" s="534"/>
      <c r="AA559" s="534"/>
      <c r="AB559" s="534"/>
      <c r="AC559" s="534"/>
      <c r="AD559" s="534"/>
    </row>
    <row r="560" spans="1:30" x14ac:dyDescent="0.2">
      <c r="A560" s="533" t="s">
        <v>1120</v>
      </c>
      <c r="B560" s="533">
        <v>1000</v>
      </c>
      <c r="C560" s="533">
        <v>2000</v>
      </c>
      <c r="D560" s="542" t="str">
        <f t="shared" si="20"/>
        <v>KVV10002000</v>
      </c>
      <c r="E560" s="907">
        <f t="shared" si="19"/>
        <v>892.30590000000007</v>
      </c>
      <c r="F560" s="534">
        <v>10</v>
      </c>
      <c r="G560" s="535">
        <f>F560*CCBASE!$B$51</f>
        <v>360</v>
      </c>
      <c r="H560" s="535"/>
      <c r="I560" s="535"/>
      <c r="J560" s="535">
        <f>CCBASE!$I$30*B560/1000</f>
        <v>532.30590000000007</v>
      </c>
      <c r="K560" s="535"/>
      <c r="L560" s="535"/>
      <c r="M560" s="535"/>
      <c r="N560" s="535"/>
      <c r="O560" s="535"/>
      <c r="P560" s="534"/>
      <c r="Q560" s="534"/>
      <c r="R560" s="534"/>
      <c r="S560" s="534"/>
      <c r="T560" s="534"/>
      <c r="U560" s="534"/>
      <c r="V560" s="534"/>
      <c r="W560" s="534"/>
      <c r="X560" s="534"/>
      <c r="Y560" s="534"/>
      <c r="Z560" s="534"/>
      <c r="AA560" s="534"/>
      <c r="AB560" s="534"/>
      <c r="AC560" s="534"/>
      <c r="AD560" s="534"/>
    </row>
    <row r="561" spans="1:45" x14ac:dyDescent="0.2">
      <c r="A561" s="533" t="s">
        <v>1120</v>
      </c>
      <c r="B561" s="533">
        <v>1250</v>
      </c>
      <c r="C561" s="533">
        <v>2000</v>
      </c>
      <c r="D561" s="542" t="str">
        <f t="shared" si="20"/>
        <v>KVV12502000</v>
      </c>
      <c r="E561" s="907">
        <f t="shared" si="19"/>
        <v>1025.3823750000001</v>
      </c>
      <c r="F561" s="534">
        <v>10</v>
      </c>
      <c r="G561" s="535">
        <f>F561*CCBASE!$B$51</f>
        <v>360</v>
      </c>
      <c r="H561" s="535"/>
      <c r="I561" s="535"/>
      <c r="J561" s="535">
        <f>CCBASE!$I$30*B561/1000</f>
        <v>665.38237500000014</v>
      </c>
      <c r="K561" s="535"/>
      <c r="L561" s="535"/>
      <c r="M561" s="535"/>
      <c r="N561" s="535"/>
      <c r="O561" s="535"/>
      <c r="P561" s="534"/>
      <c r="Q561" s="534"/>
      <c r="R561" s="534"/>
      <c r="S561" s="534"/>
      <c r="T561" s="534"/>
      <c r="U561" s="534"/>
      <c r="V561" s="534"/>
      <c r="W561" s="534"/>
      <c r="X561" s="534"/>
      <c r="Y561" s="534"/>
      <c r="Z561" s="534"/>
      <c r="AA561" s="534"/>
      <c r="AB561" s="534"/>
      <c r="AC561" s="534"/>
      <c r="AD561" s="534"/>
    </row>
    <row r="562" spans="1:45" x14ac:dyDescent="0.2">
      <c r="A562" s="533" t="s">
        <v>1120</v>
      </c>
      <c r="B562" s="533">
        <v>1500</v>
      </c>
      <c r="C562" s="533">
        <v>2000</v>
      </c>
      <c r="D562" s="542" t="str">
        <f t="shared" si="20"/>
        <v>KVV15002000</v>
      </c>
      <c r="E562" s="907">
        <f t="shared" si="19"/>
        <v>1158.45885</v>
      </c>
      <c r="F562" s="534">
        <v>10</v>
      </c>
      <c r="G562" s="535">
        <f>F562*CCBASE!$B$51</f>
        <v>360</v>
      </c>
      <c r="H562" s="535"/>
      <c r="I562" s="535"/>
      <c r="J562" s="535">
        <f>CCBASE!$I$30*B562/1000</f>
        <v>798.4588500000001</v>
      </c>
      <c r="K562" s="535"/>
      <c r="L562" s="535"/>
      <c r="M562" s="535"/>
      <c r="N562" s="535"/>
      <c r="O562" s="535"/>
      <c r="P562" s="534"/>
      <c r="Q562" s="534"/>
      <c r="R562" s="534"/>
      <c r="S562" s="534"/>
      <c r="T562" s="534"/>
      <c r="U562" s="534"/>
      <c r="V562" s="534"/>
      <c r="W562" s="534"/>
      <c r="X562" s="534"/>
      <c r="Y562" s="534"/>
      <c r="Z562" s="534"/>
      <c r="AA562" s="534"/>
      <c r="AB562" s="534"/>
      <c r="AC562" s="534"/>
      <c r="AD562" s="534"/>
    </row>
    <row r="563" spans="1:45" x14ac:dyDescent="0.2">
      <c r="A563" s="533" t="s">
        <v>1120</v>
      </c>
      <c r="B563" s="533">
        <v>1750</v>
      </c>
      <c r="C563" s="533">
        <v>2000</v>
      </c>
      <c r="D563" s="542" t="str">
        <f t="shared" si="20"/>
        <v>KVV17502000</v>
      </c>
      <c r="E563" s="907">
        <f t="shared" si="19"/>
        <v>1363.5353250000001</v>
      </c>
      <c r="F563" s="534">
        <v>12</v>
      </c>
      <c r="G563" s="535">
        <f>F563*CCBASE!$B$51</f>
        <v>432</v>
      </c>
      <c r="H563" s="535"/>
      <c r="I563" s="535"/>
      <c r="J563" s="535">
        <f>CCBASE!$I$30*B563/1000</f>
        <v>931.53532500000006</v>
      </c>
      <c r="K563" s="535"/>
      <c r="L563" s="535"/>
      <c r="M563" s="535"/>
      <c r="N563" s="535"/>
      <c r="O563" s="535"/>
      <c r="P563" s="534"/>
      <c r="Q563" s="534"/>
      <c r="R563" s="534"/>
      <c r="S563" s="534"/>
      <c r="T563" s="534"/>
      <c r="U563" s="534"/>
      <c r="V563" s="534"/>
      <c r="W563" s="534"/>
      <c r="X563" s="534"/>
      <c r="Y563" s="534"/>
      <c r="Z563" s="534"/>
      <c r="AA563" s="534"/>
      <c r="AB563" s="534"/>
      <c r="AC563" s="534"/>
      <c r="AD563" s="534"/>
    </row>
    <row r="564" spans="1:45" x14ac:dyDescent="0.2">
      <c r="A564" s="533" t="s">
        <v>1120</v>
      </c>
      <c r="B564" s="533">
        <v>2000</v>
      </c>
      <c r="C564" s="533">
        <v>2000</v>
      </c>
      <c r="D564" s="542" t="str">
        <f t="shared" si="20"/>
        <v>KVV20002000</v>
      </c>
      <c r="E564" s="907">
        <f t="shared" si="19"/>
        <v>1496.6118000000001</v>
      </c>
      <c r="F564" s="534">
        <v>12</v>
      </c>
      <c r="G564" s="535">
        <f>F564*CCBASE!$B$51</f>
        <v>432</v>
      </c>
      <c r="H564" s="535"/>
      <c r="I564" s="535"/>
      <c r="J564" s="535">
        <f>CCBASE!$I$30*B564/1000</f>
        <v>1064.6118000000001</v>
      </c>
      <c r="K564" s="535"/>
      <c r="L564" s="535"/>
      <c r="M564" s="535"/>
      <c r="N564" s="535"/>
      <c r="O564" s="535"/>
      <c r="P564" s="534"/>
      <c r="Q564" s="534"/>
      <c r="R564" s="534"/>
      <c r="S564" s="534"/>
      <c r="T564" s="534"/>
      <c r="U564" s="534"/>
      <c r="V564" s="534"/>
      <c r="W564" s="534"/>
      <c r="X564" s="534"/>
      <c r="Y564" s="534"/>
      <c r="Z564" s="534"/>
      <c r="AA564" s="534"/>
      <c r="AB564" s="534"/>
      <c r="AC564" s="534"/>
      <c r="AD564" s="534"/>
    </row>
    <row r="565" spans="1:45" x14ac:dyDescent="0.2">
      <c r="A565" s="533" t="s">
        <v>1120</v>
      </c>
      <c r="B565" s="533">
        <v>2250</v>
      </c>
      <c r="C565" s="533">
        <v>2000</v>
      </c>
      <c r="D565" s="542" t="str">
        <f t="shared" si="20"/>
        <v>KVV22502000</v>
      </c>
      <c r="E565" s="907">
        <f t="shared" si="19"/>
        <v>1629.6882750000002</v>
      </c>
      <c r="F565" s="534">
        <v>12</v>
      </c>
      <c r="G565" s="535">
        <f>F565*CCBASE!$B$51</f>
        <v>432</v>
      </c>
      <c r="H565" s="535"/>
      <c r="I565" s="535"/>
      <c r="J565" s="535">
        <f>CCBASE!$I$30*B565/1000</f>
        <v>1197.6882750000002</v>
      </c>
      <c r="K565" s="535"/>
      <c r="L565" s="535"/>
      <c r="M565" s="535"/>
      <c r="N565" s="535"/>
      <c r="O565" s="535"/>
      <c r="P565" s="534"/>
      <c r="Q565" s="534"/>
      <c r="R565" s="534"/>
      <c r="S565" s="534"/>
      <c r="T565" s="534"/>
      <c r="U565" s="534"/>
      <c r="V565" s="534"/>
      <c r="W565" s="534"/>
      <c r="X565" s="534"/>
      <c r="Y565" s="534"/>
      <c r="Z565" s="534"/>
      <c r="AA565" s="534"/>
      <c r="AB565" s="534"/>
      <c r="AC565" s="534"/>
      <c r="AD565" s="534"/>
    </row>
    <row r="566" spans="1:45" x14ac:dyDescent="0.2">
      <c r="A566" s="533" t="s">
        <v>1120</v>
      </c>
      <c r="B566" s="533">
        <v>2500</v>
      </c>
      <c r="C566" s="533">
        <v>2000</v>
      </c>
      <c r="D566" s="542" t="str">
        <f t="shared" si="20"/>
        <v>KVV25002000</v>
      </c>
      <c r="E566" s="907">
        <f t="shared" si="19"/>
        <v>1870.7647500000003</v>
      </c>
      <c r="F566" s="534">
        <v>15</v>
      </c>
      <c r="G566" s="535">
        <f>F566*CCBASE!$B$51</f>
        <v>540</v>
      </c>
      <c r="H566" s="535"/>
      <c r="I566" s="535"/>
      <c r="J566" s="535">
        <f>CCBASE!$I$30*B566/1000</f>
        <v>1330.7647500000003</v>
      </c>
      <c r="K566" s="535"/>
      <c r="L566" s="535"/>
      <c r="M566" s="535"/>
      <c r="N566" s="535"/>
      <c r="O566" s="535"/>
      <c r="P566" s="534"/>
      <c r="Q566" s="534"/>
      <c r="R566" s="534"/>
      <c r="S566" s="534"/>
      <c r="T566" s="534"/>
      <c r="U566" s="534"/>
      <c r="V566" s="534"/>
      <c r="W566" s="534"/>
      <c r="X566" s="534"/>
      <c r="Y566" s="534"/>
      <c r="Z566" s="534"/>
      <c r="AA566" s="534"/>
      <c r="AB566" s="534"/>
      <c r="AC566" s="534"/>
      <c r="AD566" s="534"/>
    </row>
    <row r="567" spans="1:45" x14ac:dyDescent="0.2">
      <c r="A567" s="533" t="s">
        <v>1120</v>
      </c>
      <c r="B567" s="533">
        <v>2750</v>
      </c>
      <c r="C567" s="533">
        <v>2000</v>
      </c>
      <c r="D567" s="542" t="str">
        <f t="shared" si="20"/>
        <v>KVV27502000</v>
      </c>
      <c r="E567" s="907">
        <f t="shared" si="19"/>
        <v>2003.8412250000001</v>
      </c>
      <c r="F567" s="534">
        <v>15</v>
      </c>
      <c r="G567" s="535">
        <f>F567*CCBASE!$B$51</f>
        <v>540</v>
      </c>
      <c r="H567" s="535"/>
      <c r="I567" s="535"/>
      <c r="J567" s="535">
        <f>CCBASE!$I$30*B567/1000</f>
        <v>1463.8412250000001</v>
      </c>
      <c r="K567" s="535"/>
      <c r="L567" s="535"/>
      <c r="M567" s="535"/>
      <c r="N567" s="535"/>
      <c r="O567" s="535"/>
      <c r="P567" s="534"/>
      <c r="Q567" s="534"/>
      <c r="R567" s="534"/>
      <c r="S567" s="534"/>
      <c r="T567" s="534"/>
      <c r="U567" s="534"/>
      <c r="V567" s="534"/>
      <c r="W567" s="534"/>
      <c r="X567" s="534"/>
      <c r="Y567" s="534"/>
      <c r="Z567" s="534"/>
      <c r="AA567" s="534"/>
      <c r="AB567" s="534"/>
      <c r="AC567" s="534"/>
      <c r="AD567" s="534"/>
    </row>
    <row r="568" spans="1:45" x14ac:dyDescent="0.2">
      <c r="A568" s="533" t="s">
        <v>1120</v>
      </c>
      <c r="B568" s="533">
        <v>3000</v>
      </c>
      <c r="C568" s="533">
        <v>2000</v>
      </c>
      <c r="D568" s="542" t="str">
        <f t="shared" si="20"/>
        <v>KVV30002000</v>
      </c>
      <c r="E568" s="907">
        <f t="shared" si="19"/>
        <v>2136.9177</v>
      </c>
      <c r="F568" s="534">
        <v>15</v>
      </c>
      <c r="G568" s="535">
        <f>F568*CCBASE!$B$51</f>
        <v>540</v>
      </c>
      <c r="H568" s="535"/>
      <c r="I568" s="535"/>
      <c r="J568" s="535">
        <f>CCBASE!$I$30*B568/1000</f>
        <v>1596.9177000000002</v>
      </c>
      <c r="K568" s="535"/>
      <c r="L568" s="535"/>
      <c r="M568" s="535"/>
      <c r="N568" s="535"/>
      <c r="O568" s="535"/>
      <c r="P568" s="534"/>
      <c r="Q568" s="534"/>
      <c r="R568" s="534"/>
      <c r="S568" s="534"/>
      <c r="T568" s="534"/>
      <c r="U568" s="534"/>
      <c r="V568" s="534"/>
      <c r="W568" s="534"/>
      <c r="X568" s="534"/>
      <c r="Y568" s="534"/>
      <c r="Z568" s="534"/>
      <c r="AA568" s="534"/>
      <c r="AB568" s="534"/>
      <c r="AC568" s="534"/>
      <c r="AD568" s="534"/>
    </row>
    <row r="569" spans="1:45" x14ac:dyDescent="0.2">
      <c r="A569" s="533" t="s">
        <v>1306</v>
      </c>
      <c r="B569" s="533">
        <v>1</v>
      </c>
      <c r="C569" s="533" t="s">
        <v>772</v>
      </c>
      <c r="D569" s="542" t="str">
        <f t="shared" si="20"/>
        <v>CP1S</v>
      </c>
      <c r="E569" s="907">
        <v>3957.74</v>
      </c>
      <c r="F569" s="534">
        <v>6</v>
      </c>
      <c r="G569" s="535">
        <f>F569*CCBASE!$B$51</f>
        <v>216</v>
      </c>
      <c r="H569" s="535"/>
      <c r="I569" s="540"/>
      <c r="J569" s="540"/>
      <c r="K569" s="540"/>
      <c r="L569" s="540"/>
      <c r="M569" s="540"/>
      <c r="N569" s="540"/>
      <c r="O569" s="540"/>
      <c r="P569" s="540"/>
      <c r="Q569" s="540"/>
      <c r="R569" s="540"/>
      <c r="S569" s="540"/>
      <c r="T569" s="540"/>
      <c r="U569" s="540"/>
      <c r="V569" s="540"/>
      <c r="W569" s="540"/>
      <c r="X569" s="540">
        <f>'Base Costs'!$R$33</f>
        <v>390.08</v>
      </c>
      <c r="Y569" s="540">
        <f>'Base Costs'!$R$23</f>
        <v>174.68799999999999</v>
      </c>
      <c r="Z569" s="540">
        <f>'Base Costs'!R29</f>
        <v>793.94</v>
      </c>
      <c r="AA569" s="540">
        <f>'Base Costs'!R25</f>
        <v>1200.98</v>
      </c>
      <c r="AB569" s="535">
        <f>CCBASE!$I$48</f>
        <v>153.46597</v>
      </c>
      <c r="AC569" s="540">
        <f>'Base Costs'!$R$24</f>
        <v>19.111799999999999</v>
      </c>
      <c r="AD569" s="540"/>
    </row>
    <row r="570" spans="1:45" x14ac:dyDescent="0.2">
      <c r="A570" s="533" t="s">
        <v>1306</v>
      </c>
      <c r="B570" s="533">
        <v>2</v>
      </c>
      <c r="C570" s="533" t="s">
        <v>772</v>
      </c>
      <c r="D570" s="542" t="str">
        <f t="shared" si="20"/>
        <v>CP2S</v>
      </c>
      <c r="E570" s="907">
        <v>4249.6000000000004</v>
      </c>
      <c r="F570" s="534">
        <v>6</v>
      </c>
      <c r="G570" s="535">
        <f>F570*CCBASE!$B$51</f>
        <v>216</v>
      </c>
      <c r="H570" s="535"/>
      <c r="I570" s="540"/>
      <c r="J570" s="540"/>
      <c r="K570" s="540"/>
      <c r="L570" s="540"/>
      <c r="M570" s="540"/>
      <c r="N570" s="540"/>
      <c r="O570" s="540"/>
      <c r="P570" s="540"/>
      <c r="Q570" s="540"/>
      <c r="R570" s="540"/>
      <c r="S570" s="540"/>
      <c r="T570" s="540"/>
      <c r="U570" s="540"/>
      <c r="V570" s="540"/>
      <c r="W570" s="540"/>
      <c r="X570" s="540">
        <f>'Base Costs'!$R$33</f>
        <v>390.08</v>
      </c>
      <c r="Y570" s="540">
        <f>'Base Costs'!$R$23</f>
        <v>174.68799999999999</v>
      </c>
      <c r="Z570" s="540">
        <f>'Base Costs'!R30</f>
        <v>877.68000000000006</v>
      </c>
      <c r="AA570" s="540">
        <f>'Base Costs'!R26</f>
        <v>1419.34</v>
      </c>
      <c r="AB570" s="535">
        <f>CCBASE!$I$48</f>
        <v>153.46597</v>
      </c>
      <c r="AC570" s="540">
        <f>'Base Costs'!$R$24</f>
        <v>19.111799999999999</v>
      </c>
      <c r="AD570" s="540"/>
    </row>
    <row r="571" spans="1:45" x14ac:dyDescent="0.2">
      <c r="A571" s="533" t="s">
        <v>1306</v>
      </c>
      <c r="B571" s="533">
        <v>3</v>
      </c>
      <c r="C571" s="533" t="s">
        <v>772</v>
      </c>
      <c r="D571" s="542" t="str">
        <f t="shared" si="20"/>
        <v>CP3S</v>
      </c>
      <c r="E571" s="907">
        <v>4541.45</v>
      </c>
      <c r="F571" s="534">
        <v>6</v>
      </c>
      <c r="G571" s="535">
        <f>F571*CCBASE!$B$51</f>
        <v>216</v>
      </c>
      <c r="H571" s="535"/>
      <c r="I571" s="540"/>
      <c r="J571" s="540"/>
      <c r="K571" s="540"/>
      <c r="L571" s="540"/>
      <c r="M571" s="540"/>
      <c r="N571" s="540"/>
      <c r="O571" s="540"/>
      <c r="P571" s="540"/>
      <c r="Q571" s="540"/>
      <c r="R571" s="540"/>
      <c r="S571" s="540"/>
      <c r="T571" s="540"/>
      <c r="U571" s="540"/>
      <c r="V571" s="540"/>
      <c r="W571" s="540"/>
      <c r="X571" s="540">
        <f>'Base Costs'!$R$33</f>
        <v>390.08</v>
      </c>
      <c r="Y571" s="540">
        <f>'Base Costs'!$R$23</f>
        <v>174.68799999999999</v>
      </c>
      <c r="Z571" s="540">
        <f>'Base Costs'!R31</f>
        <v>992.16000000000008</v>
      </c>
      <c r="AA571" s="540">
        <f>'Base Costs'!R27</f>
        <v>1556.08</v>
      </c>
      <c r="AB571" s="535">
        <f>CCBASE!$I$48</f>
        <v>153.46597</v>
      </c>
      <c r="AC571" s="540">
        <f>'Base Costs'!$R$24</f>
        <v>19.111799999999999</v>
      </c>
      <c r="AD571" s="540"/>
    </row>
    <row r="572" spans="1:45" x14ac:dyDescent="0.2">
      <c r="A572" s="533" t="s">
        <v>1306</v>
      </c>
      <c r="B572" s="533">
        <v>4</v>
      </c>
      <c r="C572" s="533" t="s">
        <v>772</v>
      </c>
      <c r="D572" s="542" t="str">
        <f t="shared" si="20"/>
        <v>CP4S</v>
      </c>
      <c r="E572" s="907">
        <v>4611.6099999999997</v>
      </c>
      <c r="F572" s="534">
        <v>6</v>
      </c>
      <c r="G572" s="535">
        <f>F572*CCBASE!$B$51</f>
        <v>216</v>
      </c>
      <c r="H572" s="535"/>
      <c r="I572" s="540"/>
      <c r="J572" s="540"/>
      <c r="K572" s="540"/>
      <c r="L572" s="540"/>
      <c r="M572" s="540"/>
      <c r="N572" s="540"/>
      <c r="O572" s="540"/>
      <c r="P572" s="540"/>
      <c r="Q572" s="540"/>
      <c r="R572" s="540"/>
      <c r="S572" s="540"/>
      <c r="T572" s="540"/>
      <c r="U572" s="540"/>
      <c r="V572" s="540"/>
      <c r="W572" s="540"/>
      <c r="X572" s="540">
        <f>'Base Costs'!$R$33</f>
        <v>390.08</v>
      </c>
      <c r="Y572" s="540">
        <f>'Base Costs'!$R$23</f>
        <v>174.68799999999999</v>
      </c>
      <c r="Z572" s="540">
        <f>'Base Costs'!R32</f>
        <v>1055.76</v>
      </c>
      <c r="AA572" s="540">
        <f>'Base Costs'!R28</f>
        <v>1856.06</v>
      </c>
      <c r="AB572" s="535">
        <f>CCBASE!$I$48</f>
        <v>153.46597</v>
      </c>
      <c r="AC572" s="540">
        <f>'Base Costs'!$R$24</f>
        <v>19.111799999999999</v>
      </c>
      <c r="AD572" s="540"/>
    </row>
    <row r="573" spans="1:45" x14ac:dyDescent="0.2">
      <c r="A573" s="533" t="s">
        <v>1307</v>
      </c>
      <c r="B573" s="533">
        <v>1000</v>
      </c>
      <c r="C573" s="533">
        <v>1000</v>
      </c>
      <c r="D573" s="533" t="str">
        <f t="shared" si="20"/>
        <v>KVX-P10001000</v>
      </c>
      <c r="E573" s="907">
        <f t="shared" ref="E573:E604" si="21">SUM(G573:AD573)</f>
        <v>615.20440150000002</v>
      </c>
      <c r="F573" s="534">
        <v>13</v>
      </c>
      <c r="G573" s="535">
        <f>F573*CCBASE!$B$51</f>
        <v>468</v>
      </c>
      <c r="H573" s="535">
        <f>CCBASE!$I$12*B573/1000</f>
        <v>119.65053730000001</v>
      </c>
      <c r="I573" s="535"/>
      <c r="J573" s="535"/>
      <c r="K573" s="535"/>
      <c r="L573" s="534"/>
      <c r="M573" s="535"/>
      <c r="N573" s="535"/>
      <c r="O573" s="535"/>
      <c r="P573" s="535"/>
      <c r="Q573" s="535">
        <f>CCBASE!$I$51</f>
        <v>2.9</v>
      </c>
      <c r="R573" s="535">
        <f>CCBASE!$I$4</f>
        <v>8.3986041999999994</v>
      </c>
      <c r="S573" s="535">
        <f>CCBASE!$I$8</f>
        <v>16.25526</v>
      </c>
      <c r="T573" s="534"/>
      <c r="U573" s="535"/>
      <c r="V573" s="535"/>
      <c r="W573" s="535"/>
      <c r="X573" s="535"/>
      <c r="Y573" s="535"/>
      <c r="Z573" s="535"/>
      <c r="AA573" s="535"/>
      <c r="AB573" s="535"/>
      <c r="AC573" s="535"/>
      <c r="AD573" s="535"/>
      <c r="AI573" s="537"/>
      <c r="AJ573" s="537"/>
      <c r="AK573" s="538"/>
      <c r="AL573" s="538"/>
      <c r="AM573" s="538"/>
      <c r="AN573" s="538"/>
      <c r="AO573" s="538"/>
      <c r="AP573" s="538"/>
      <c r="AQ573" s="538"/>
      <c r="AR573" s="538"/>
      <c r="AS573" s="538"/>
    </row>
    <row r="574" spans="1:45" x14ac:dyDescent="0.2">
      <c r="A574" s="533" t="s">
        <v>1307</v>
      </c>
      <c r="B574" s="533">
        <v>1250</v>
      </c>
      <c r="C574" s="533">
        <v>1000</v>
      </c>
      <c r="D574" s="533" t="str">
        <f t="shared" si="20"/>
        <v>KVX-P12501000</v>
      </c>
      <c r="E574" s="907">
        <f t="shared" si="21"/>
        <v>645.11703582500002</v>
      </c>
      <c r="F574" s="534">
        <v>13</v>
      </c>
      <c r="G574" s="535">
        <f>F574*CCBASE!$B$51</f>
        <v>468</v>
      </c>
      <c r="H574" s="535">
        <f>CCBASE!$I$12*B574/1000</f>
        <v>149.56317162500002</v>
      </c>
      <c r="I574" s="535"/>
      <c r="J574" s="535"/>
      <c r="K574" s="535"/>
      <c r="L574" s="534"/>
      <c r="M574" s="535"/>
      <c r="N574" s="535"/>
      <c r="O574" s="535"/>
      <c r="P574" s="535"/>
      <c r="Q574" s="535">
        <f>CCBASE!$I$51</f>
        <v>2.9</v>
      </c>
      <c r="R574" s="535">
        <f>CCBASE!$I$4</f>
        <v>8.3986041999999994</v>
      </c>
      <c r="S574" s="535">
        <f>CCBASE!$I$8</f>
        <v>16.25526</v>
      </c>
      <c r="T574" s="534"/>
      <c r="U574" s="535"/>
      <c r="V574" s="535"/>
      <c r="W574" s="535"/>
      <c r="X574" s="535"/>
      <c r="Y574" s="535"/>
      <c r="Z574" s="535"/>
      <c r="AA574" s="535"/>
      <c r="AB574" s="535"/>
      <c r="AC574" s="535"/>
      <c r="AD574" s="535"/>
      <c r="AI574" s="537"/>
      <c r="AJ574" s="537"/>
      <c r="AK574" s="538"/>
      <c r="AL574" s="538"/>
      <c r="AM574" s="538"/>
      <c r="AN574" s="538"/>
      <c r="AO574" s="538"/>
      <c r="AP574" s="538"/>
      <c r="AQ574" s="538"/>
      <c r="AR574" s="538"/>
      <c r="AS574" s="538"/>
    </row>
    <row r="575" spans="1:45" x14ac:dyDescent="0.2">
      <c r="A575" s="533" t="s">
        <v>1307</v>
      </c>
      <c r="B575" s="533">
        <v>1500</v>
      </c>
      <c r="C575" s="533">
        <v>1000</v>
      </c>
      <c r="D575" s="533" t="str">
        <f t="shared" si="20"/>
        <v>KVX-P15001000</v>
      </c>
      <c r="E575" s="907">
        <f t="shared" si="21"/>
        <v>675.02967015000002</v>
      </c>
      <c r="F575" s="534">
        <v>13</v>
      </c>
      <c r="G575" s="535">
        <f>F575*CCBASE!$B$51</f>
        <v>468</v>
      </c>
      <c r="H575" s="535">
        <f>CCBASE!$I$12*B575/1000</f>
        <v>179.47580595000002</v>
      </c>
      <c r="I575" s="535"/>
      <c r="J575" s="535"/>
      <c r="K575" s="535"/>
      <c r="L575" s="534"/>
      <c r="M575" s="535"/>
      <c r="N575" s="535"/>
      <c r="O575" s="535"/>
      <c r="P575" s="535"/>
      <c r="Q575" s="535">
        <f>CCBASE!$I$51</f>
        <v>2.9</v>
      </c>
      <c r="R575" s="535">
        <f>CCBASE!$I$4</f>
        <v>8.3986041999999994</v>
      </c>
      <c r="S575" s="535">
        <f>CCBASE!$I$8</f>
        <v>16.25526</v>
      </c>
      <c r="T575" s="534"/>
      <c r="U575" s="535"/>
      <c r="V575" s="535"/>
      <c r="W575" s="535"/>
      <c r="X575" s="535"/>
      <c r="Y575" s="535"/>
      <c r="Z575" s="535"/>
      <c r="AA575" s="535"/>
      <c r="AB575" s="535"/>
      <c r="AC575" s="535"/>
      <c r="AD575" s="535"/>
      <c r="AI575" s="537"/>
      <c r="AJ575" s="537"/>
      <c r="AK575" s="538"/>
      <c r="AL575" s="538"/>
      <c r="AM575" s="538"/>
      <c r="AN575" s="538"/>
      <c r="AO575" s="538"/>
      <c r="AP575" s="538"/>
      <c r="AQ575" s="538"/>
      <c r="AR575" s="538"/>
      <c r="AS575" s="538"/>
    </row>
    <row r="576" spans="1:45" ht="17" customHeight="1" thickBot="1" x14ac:dyDescent="0.25">
      <c r="A576" s="543" t="s">
        <v>1307</v>
      </c>
      <c r="B576" s="543">
        <v>2000</v>
      </c>
      <c r="C576" s="543">
        <v>1000</v>
      </c>
      <c r="D576" s="543" t="str">
        <f t="shared" si="20"/>
        <v>KVX-P20001000</v>
      </c>
      <c r="E576" s="907">
        <f t="shared" si="21"/>
        <v>734.85493880000001</v>
      </c>
      <c r="F576" s="544">
        <v>13</v>
      </c>
      <c r="G576" s="545">
        <f>F576*CCBASE!$B$51</f>
        <v>468</v>
      </c>
      <c r="H576" s="545">
        <f>CCBASE!$I$12*B576/1000</f>
        <v>239.30107460000002</v>
      </c>
      <c r="I576" s="545"/>
      <c r="J576" s="545"/>
      <c r="K576" s="545"/>
      <c r="L576" s="544"/>
      <c r="M576" s="545"/>
      <c r="N576" s="545"/>
      <c r="O576" s="545"/>
      <c r="P576" s="545"/>
      <c r="Q576" s="545">
        <f>CCBASE!$I$51</f>
        <v>2.9</v>
      </c>
      <c r="R576" s="545">
        <f>CCBASE!$I$4</f>
        <v>8.3986041999999994</v>
      </c>
      <c r="S576" s="545">
        <f>CCBASE!$I$8</f>
        <v>16.25526</v>
      </c>
      <c r="T576" s="544"/>
      <c r="U576" s="545"/>
      <c r="V576" s="545"/>
      <c r="W576" s="545"/>
      <c r="X576" s="545"/>
      <c r="Y576" s="545"/>
      <c r="Z576" s="545"/>
      <c r="AA576" s="545"/>
      <c r="AB576" s="545"/>
      <c r="AC576" s="545"/>
      <c r="AD576" s="545"/>
      <c r="AI576" s="537"/>
      <c r="AJ576" s="537"/>
      <c r="AK576" s="538"/>
      <c r="AL576" s="538"/>
      <c r="AM576" s="538"/>
      <c r="AN576" s="538"/>
      <c r="AO576" s="538"/>
      <c r="AP576" s="538"/>
      <c r="AQ576" s="538"/>
      <c r="AR576" s="538"/>
      <c r="AS576" s="538"/>
    </row>
    <row r="577" spans="1:45" ht="17" customHeight="1" thickBot="1" x14ac:dyDescent="0.25">
      <c r="A577" s="546" t="s">
        <v>1034</v>
      </c>
      <c r="B577" s="547">
        <v>1000</v>
      </c>
      <c r="C577" s="547">
        <v>1000</v>
      </c>
      <c r="D577" s="548" t="str">
        <f t="shared" si="20"/>
        <v>KVX-M10001000</v>
      </c>
      <c r="E577" s="907">
        <f t="shared" si="21"/>
        <v>1045.1075905</v>
      </c>
      <c r="F577" s="549">
        <v>17</v>
      </c>
      <c r="G577" s="550">
        <f>F577*CCBASE!$B$51</f>
        <v>612</v>
      </c>
      <c r="H577" s="550">
        <f>CCBASE!$I$12*B577/1000</f>
        <v>119.65053730000001</v>
      </c>
      <c r="I577" s="550"/>
      <c r="J577" s="550"/>
      <c r="K577" s="550"/>
      <c r="L577" s="549"/>
      <c r="M577" s="550">
        <f>CCBASE!$I$15*B577/1000</f>
        <v>79.84588500000001</v>
      </c>
      <c r="N577" s="550">
        <f>CCBASE!$I$7*B577/1000</f>
        <v>31.542280000000002</v>
      </c>
      <c r="O577" s="550">
        <f>CCBASE!$I$45*B577/1000</f>
        <v>9.9700000000000006</v>
      </c>
      <c r="P577" s="550"/>
      <c r="Q577" s="550">
        <f>CCBASE!$I$51</f>
        <v>2.9</v>
      </c>
      <c r="R577" s="550">
        <f>CCBASE!$I$4</f>
        <v>8.3986041999999994</v>
      </c>
      <c r="S577" s="550">
        <f>CCBASE!$I$8</f>
        <v>16.25526</v>
      </c>
      <c r="T577" s="549"/>
      <c r="U577" s="551">
        <f>CCBASE!$I$47</f>
        <v>14.41</v>
      </c>
      <c r="V577" s="550"/>
      <c r="W577" s="550">
        <f>CCBASE!$I$40*B577/1000</f>
        <v>41.308039999999998</v>
      </c>
      <c r="X577" s="550"/>
      <c r="Y577" s="550"/>
      <c r="Z577" s="550"/>
      <c r="AA577" s="550"/>
      <c r="AB577" s="550"/>
      <c r="AC577" s="550"/>
      <c r="AD577" s="552">
        <f>CCBASE!$I$32*2</f>
        <v>108.826984</v>
      </c>
      <c r="AI577" s="537"/>
      <c r="AJ577" s="537"/>
      <c r="AK577" s="538"/>
      <c r="AL577" s="538"/>
      <c r="AM577" s="538"/>
      <c r="AN577" s="538"/>
      <c r="AO577" s="538"/>
      <c r="AP577" s="538"/>
      <c r="AQ577" s="538"/>
      <c r="AR577" s="538"/>
      <c r="AS577" s="538"/>
    </row>
    <row r="578" spans="1:45" ht="17" customHeight="1" thickBot="1" x14ac:dyDescent="0.25">
      <c r="A578" s="546" t="s">
        <v>1034</v>
      </c>
      <c r="B578" s="533">
        <v>1250</v>
      </c>
      <c r="C578" s="533">
        <v>1000</v>
      </c>
      <c r="D578" s="553" t="str">
        <f t="shared" si="20"/>
        <v>KVX-M12501000</v>
      </c>
      <c r="E578" s="907">
        <f t="shared" si="21"/>
        <v>1115.6867760749999</v>
      </c>
      <c r="F578" s="534">
        <v>17</v>
      </c>
      <c r="G578" s="535">
        <f>F578*CCBASE!$B$51</f>
        <v>612</v>
      </c>
      <c r="H578" s="535">
        <f>CCBASE!$I$12*B578/1000</f>
        <v>149.56317162500002</v>
      </c>
      <c r="I578" s="535"/>
      <c r="J578" s="535"/>
      <c r="K578" s="535"/>
      <c r="L578" s="534"/>
      <c r="M578" s="535">
        <f>CCBASE!$I$15*B578/1000</f>
        <v>99.807356250000012</v>
      </c>
      <c r="N578" s="535">
        <f>CCBASE!$I$7*B578/1000</f>
        <v>39.427849999999999</v>
      </c>
      <c r="O578" s="535">
        <f>CCBASE!$I$45*B578/1000</f>
        <v>12.4625</v>
      </c>
      <c r="P578" s="535"/>
      <c r="Q578" s="535">
        <f>CCBASE!$I$51</f>
        <v>2.9</v>
      </c>
      <c r="R578" s="535">
        <f>CCBASE!$I$4</f>
        <v>8.3986041999999994</v>
      </c>
      <c r="S578" s="535">
        <f>CCBASE!$I$8</f>
        <v>16.25526</v>
      </c>
      <c r="T578" s="534"/>
      <c r="U578" s="540">
        <f>CCBASE!$I$47</f>
        <v>14.41</v>
      </c>
      <c r="V578" s="535"/>
      <c r="W578" s="535">
        <f>CCBASE!$I$40*B578/1000</f>
        <v>51.635049999999993</v>
      </c>
      <c r="X578" s="535"/>
      <c r="Y578" s="535"/>
      <c r="Z578" s="535"/>
      <c r="AA578" s="535"/>
      <c r="AB578" s="535"/>
      <c r="AC578" s="535"/>
      <c r="AD578" s="554">
        <f>CCBASE!$I$32*2</f>
        <v>108.826984</v>
      </c>
      <c r="AI578" s="537"/>
      <c r="AJ578" s="537"/>
      <c r="AK578" s="538"/>
      <c r="AL578" s="538"/>
      <c r="AM578" s="538"/>
      <c r="AN578" s="538"/>
      <c r="AO578" s="538"/>
      <c r="AP578" s="538"/>
      <c r="AQ578" s="538"/>
      <c r="AR578" s="538"/>
      <c r="AS578" s="538"/>
    </row>
    <row r="579" spans="1:45" ht="17" customHeight="1" thickBot="1" x14ac:dyDescent="0.25">
      <c r="A579" s="546" t="s">
        <v>1034</v>
      </c>
      <c r="B579" s="533">
        <v>1500</v>
      </c>
      <c r="C579" s="533">
        <v>1000</v>
      </c>
      <c r="D579" s="553" t="str">
        <f t="shared" si="20"/>
        <v>KVX-M15001000</v>
      </c>
      <c r="E579" s="907">
        <f t="shared" si="21"/>
        <v>1186.26596165</v>
      </c>
      <c r="F579" s="534">
        <v>17</v>
      </c>
      <c r="G579" s="535">
        <f>F579*CCBASE!$B$51</f>
        <v>612</v>
      </c>
      <c r="H579" s="535">
        <f>CCBASE!$I$12*B579/1000</f>
        <v>179.47580595000002</v>
      </c>
      <c r="I579" s="535"/>
      <c r="J579" s="535"/>
      <c r="K579" s="535"/>
      <c r="L579" s="534"/>
      <c r="M579" s="535">
        <f>CCBASE!$I$15*B579/1000</f>
        <v>119.76882750000001</v>
      </c>
      <c r="N579" s="535">
        <f>CCBASE!$I$7*B579/1000</f>
        <v>47.313420000000008</v>
      </c>
      <c r="O579" s="535">
        <f>CCBASE!$I$45*B579/1000</f>
        <v>14.955000000000002</v>
      </c>
      <c r="P579" s="535"/>
      <c r="Q579" s="535">
        <f>CCBASE!$I$51</f>
        <v>2.9</v>
      </c>
      <c r="R579" s="535">
        <f>CCBASE!$I$4</f>
        <v>8.3986041999999994</v>
      </c>
      <c r="S579" s="535">
        <f>CCBASE!$I$8</f>
        <v>16.25526</v>
      </c>
      <c r="T579" s="534"/>
      <c r="U579" s="540">
        <f>CCBASE!$I$47</f>
        <v>14.41</v>
      </c>
      <c r="V579" s="535"/>
      <c r="W579" s="535">
        <f>CCBASE!$I$40*B579/1000</f>
        <v>61.962060000000001</v>
      </c>
      <c r="X579" s="535"/>
      <c r="Y579" s="535"/>
      <c r="Z579" s="535"/>
      <c r="AA579" s="535"/>
      <c r="AB579" s="535"/>
      <c r="AC579" s="535"/>
      <c r="AD579" s="554">
        <f>CCBASE!$I$32*2</f>
        <v>108.826984</v>
      </c>
      <c r="AI579" s="537"/>
      <c r="AJ579" s="537"/>
      <c r="AK579" s="538"/>
      <c r="AL579" s="538"/>
      <c r="AM579" s="538"/>
      <c r="AN579" s="538"/>
      <c r="AO579" s="538"/>
      <c r="AP579" s="538"/>
      <c r="AQ579" s="538"/>
      <c r="AR579" s="538"/>
      <c r="AS579" s="538"/>
    </row>
    <row r="580" spans="1:45" ht="17" customHeight="1" thickBot="1" x14ac:dyDescent="0.25">
      <c r="A580" s="546" t="s">
        <v>1034</v>
      </c>
      <c r="B580" s="533">
        <v>1750</v>
      </c>
      <c r="C580" s="533">
        <v>1000</v>
      </c>
      <c r="D580" s="553" t="str">
        <f t="shared" si="20"/>
        <v>KVX-M17501000</v>
      </c>
      <c r="E580" s="907">
        <f t="shared" si="21"/>
        <v>1292.8451472250001</v>
      </c>
      <c r="F580" s="534">
        <v>18</v>
      </c>
      <c r="G580" s="535">
        <f>F580*CCBASE!$B$51</f>
        <v>648</v>
      </c>
      <c r="H580" s="535">
        <f>CCBASE!$I$12*B580/1000</f>
        <v>209.38844027500002</v>
      </c>
      <c r="I580" s="535"/>
      <c r="J580" s="535"/>
      <c r="K580" s="535"/>
      <c r="L580" s="534"/>
      <c r="M580" s="535">
        <f>CCBASE!$I$15*B580/1000</f>
        <v>139.73029875</v>
      </c>
      <c r="N580" s="535">
        <f>CCBASE!$I$7*B580/1000</f>
        <v>55.198990000000002</v>
      </c>
      <c r="O580" s="535">
        <f>CCBASE!$I$45*B580/1000</f>
        <v>17.447500000000002</v>
      </c>
      <c r="P580" s="535"/>
      <c r="Q580" s="535">
        <f>CCBASE!$I$51</f>
        <v>2.9</v>
      </c>
      <c r="R580" s="535">
        <f>CCBASE!$I$4</f>
        <v>8.3986041999999994</v>
      </c>
      <c r="S580" s="535">
        <f>CCBASE!$I$8</f>
        <v>16.25526</v>
      </c>
      <c r="T580" s="534"/>
      <c r="U580" s="540">
        <f>CCBASE!$I$47</f>
        <v>14.41</v>
      </c>
      <c r="V580" s="535"/>
      <c r="W580" s="535">
        <f>CCBASE!$I$40*B580/1000</f>
        <v>72.289069999999995</v>
      </c>
      <c r="X580" s="535"/>
      <c r="Y580" s="535"/>
      <c r="Z580" s="535"/>
      <c r="AA580" s="535"/>
      <c r="AB580" s="535"/>
      <c r="AC580" s="535"/>
      <c r="AD580" s="554">
        <f>CCBASE!$I$32*2</f>
        <v>108.826984</v>
      </c>
      <c r="AI580" s="537"/>
      <c r="AJ580" s="537"/>
      <c r="AN580" s="538"/>
      <c r="AO580" s="538"/>
      <c r="AP580" s="538"/>
      <c r="AQ580" s="538"/>
      <c r="AR580" s="538"/>
      <c r="AS580" s="538"/>
    </row>
    <row r="581" spans="1:45" ht="17" customHeight="1" thickBot="1" x14ac:dyDescent="0.25">
      <c r="A581" s="546" t="s">
        <v>1034</v>
      </c>
      <c r="B581" s="533">
        <v>2000</v>
      </c>
      <c r="C581" s="533">
        <v>1000</v>
      </c>
      <c r="D581" s="553" t="str">
        <f t="shared" si="20"/>
        <v>KVX-M20001000</v>
      </c>
      <c r="E581" s="907">
        <f t="shared" si="21"/>
        <v>1363.4243328</v>
      </c>
      <c r="F581" s="534">
        <v>18</v>
      </c>
      <c r="G581" s="535">
        <f>F581*CCBASE!$B$51</f>
        <v>648</v>
      </c>
      <c r="H581" s="535">
        <f>CCBASE!$I$12*B581/1000</f>
        <v>239.30107460000002</v>
      </c>
      <c r="I581" s="535"/>
      <c r="J581" s="535"/>
      <c r="K581" s="535"/>
      <c r="L581" s="534"/>
      <c r="M581" s="535">
        <f>CCBASE!$I$15*B581/1000</f>
        <v>159.69177000000002</v>
      </c>
      <c r="N581" s="535">
        <f>CCBASE!$I$7*B581/1000</f>
        <v>63.084560000000003</v>
      </c>
      <c r="O581" s="535">
        <f>CCBASE!$I$45*B581/1000</f>
        <v>19.940000000000001</v>
      </c>
      <c r="P581" s="535"/>
      <c r="Q581" s="535">
        <f>CCBASE!$I$51</f>
        <v>2.9</v>
      </c>
      <c r="R581" s="535">
        <f>CCBASE!$I$4</f>
        <v>8.3986041999999994</v>
      </c>
      <c r="S581" s="535">
        <f>CCBASE!$I$8</f>
        <v>16.25526</v>
      </c>
      <c r="T581" s="534"/>
      <c r="U581" s="540">
        <f>CCBASE!$I$47</f>
        <v>14.41</v>
      </c>
      <c r="V581" s="535"/>
      <c r="W581" s="535">
        <f>CCBASE!$I$40*B581/1000</f>
        <v>82.616079999999997</v>
      </c>
      <c r="X581" s="535"/>
      <c r="Y581" s="535"/>
      <c r="Z581" s="535"/>
      <c r="AA581" s="535"/>
      <c r="AB581" s="535"/>
      <c r="AC581" s="535"/>
      <c r="AD581" s="554">
        <f>CCBASE!$I$32*2</f>
        <v>108.826984</v>
      </c>
      <c r="AI581" s="537"/>
      <c r="AJ581" s="537"/>
      <c r="AN581" s="538"/>
      <c r="AO581" s="538"/>
      <c r="AP581" s="538"/>
      <c r="AQ581" s="538"/>
      <c r="AR581" s="538"/>
      <c r="AS581" s="538"/>
    </row>
    <row r="582" spans="1:45" ht="17" customHeight="1" thickBot="1" x14ac:dyDescent="0.25">
      <c r="A582" s="546" t="s">
        <v>1034</v>
      </c>
      <c r="B582" s="533">
        <v>2250</v>
      </c>
      <c r="C582" s="533">
        <v>1000</v>
      </c>
      <c r="D582" s="553" t="str">
        <f t="shared" si="20"/>
        <v>KVX-M22501000</v>
      </c>
      <c r="E582" s="907">
        <f t="shared" si="21"/>
        <v>1448.4135183749997</v>
      </c>
      <c r="F582" s="534">
        <v>18</v>
      </c>
      <c r="G582" s="535">
        <f>F582*CCBASE!$B$51</f>
        <v>648</v>
      </c>
      <c r="H582" s="535">
        <f>CCBASE!$I$12*B582/1000</f>
        <v>269.21370892500005</v>
      </c>
      <c r="I582" s="535"/>
      <c r="J582" s="535"/>
      <c r="K582" s="535"/>
      <c r="L582" s="534"/>
      <c r="M582" s="535">
        <f>CCBASE!$I$15*B582/1000</f>
        <v>179.65324125000001</v>
      </c>
      <c r="N582" s="535">
        <f>CCBASE!$I$7*B582/1000</f>
        <v>70.970130000000012</v>
      </c>
      <c r="O582" s="535">
        <f>CCBASE!$I$45*B582/1000</f>
        <v>22.432500000000001</v>
      </c>
      <c r="P582" s="535"/>
      <c r="Q582" s="535">
        <f>CCBASE!$I$51</f>
        <v>2.9</v>
      </c>
      <c r="R582" s="535">
        <f>CCBASE!$I$4</f>
        <v>8.3986041999999994</v>
      </c>
      <c r="S582" s="535">
        <f>CCBASE!$I$8</f>
        <v>16.25526</v>
      </c>
      <c r="T582" s="534"/>
      <c r="U582" s="540">
        <f>CCBASE!$I$47*2</f>
        <v>28.82</v>
      </c>
      <c r="V582" s="535"/>
      <c r="W582" s="535">
        <f>CCBASE!$I$40*B582/1000</f>
        <v>92.943089999999998</v>
      </c>
      <c r="X582" s="535"/>
      <c r="Y582" s="535"/>
      <c r="Z582" s="535"/>
      <c r="AA582" s="535"/>
      <c r="AB582" s="535"/>
      <c r="AC582" s="535"/>
      <c r="AD582" s="554">
        <f>CCBASE!$I$32*2</f>
        <v>108.826984</v>
      </c>
      <c r="AI582" s="537"/>
      <c r="AJ582" s="537"/>
      <c r="AN582" s="538"/>
      <c r="AO582" s="538"/>
      <c r="AP582" s="538"/>
      <c r="AQ582" s="538"/>
      <c r="AR582" s="538"/>
      <c r="AS582" s="538"/>
    </row>
    <row r="583" spans="1:45" ht="17" customHeight="1" thickBot="1" x14ac:dyDescent="0.25">
      <c r="A583" s="546" t="s">
        <v>1034</v>
      </c>
      <c r="B583" s="533">
        <v>2500</v>
      </c>
      <c r="C583" s="533">
        <v>1000</v>
      </c>
      <c r="D583" s="553" t="str">
        <f t="shared" si="20"/>
        <v>KVX-M25001000</v>
      </c>
      <c r="E583" s="907">
        <f t="shared" si="21"/>
        <v>1554.9927039499999</v>
      </c>
      <c r="F583" s="534">
        <v>19</v>
      </c>
      <c r="G583" s="535">
        <f>F583*CCBASE!$B$51</f>
        <v>684</v>
      </c>
      <c r="H583" s="535">
        <f>CCBASE!$I$12*B583/1000</f>
        <v>299.12634325000005</v>
      </c>
      <c r="I583" s="535"/>
      <c r="J583" s="535"/>
      <c r="K583" s="535"/>
      <c r="L583" s="534"/>
      <c r="M583" s="535">
        <f>CCBASE!$I$15*B583/1000</f>
        <v>199.61471250000002</v>
      </c>
      <c r="N583" s="535">
        <f>CCBASE!$I$7*B583/1000</f>
        <v>78.855699999999999</v>
      </c>
      <c r="O583" s="535">
        <f>CCBASE!$I$45*B583/1000</f>
        <v>24.925000000000001</v>
      </c>
      <c r="P583" s="535"/>
      <c r="Q583" s="535">
        <f>CCBASE!$I$51</f>
        <v>2.9</v>
      </c>
      <c r="R583" s="535">
        <f>CCBASE!$I$4</f>
        <v>8.3986041999999994</v>
      </c>
      <c r="S583" s="535">
        <f>CCBASE!$I$8</f>
        <v>16.25526</v>
      </c>
      <c r="T583" s="534"/>
      <c r="U583" s="540">
        <f>CCBASE!$I$47*2</f>
        <v>28.82</v>
      </c>
      <c r="V583" s="535"/>
      <c r="W583" s="535">
        <f>CCBASE!$I$40*B583/1000</f>
        <v>103.27009999999999</v>
      </c>
      <c r="X583" s="535"/>
      <c r="Y583" s="535"/>
      <c r="Z583" s="535"/>
      <c r="AA583" s="535"/>
      <c r="AB583" s="535"/>
      <c r="AC583" s="535"/>
      <c r="AD583" s="554">
        <f>CCBASE!$I$32*2</f>
        <v>108.826984</v>
      </c>
      <c r="AI583" s="537"/>
      <c r="AJ583" s="537"/>
      <c r="AN583" s="538"/>
      <c r="AO583" s="538"/>
      <c r="AP583" s="538"/>
      <c r="AQ583" s="538"/>
      <c r="AR583" s="538"/>
      <c r="AS583" s="538"/>
    </row>
    <row r="584" spans="1:45" ht="17" customHeight="1" thickBot="1" x14ac:dyDescent="0.25">
      <c r="A584" s="546" t="s">
        <v>1034</v>
      </c>
      <c r="B584" s="533">
        <v>2750</v>
      </c>
      <c r="C584" s="533">
        <v>1000</v>
      </c>
      <c r="D584" s="553" t="str">
        <f t="shared" si="20"/>
        <v>KVX-M27501000</v>
      </c>
      <c r="E584" s="907">
        <f t="shared" si="21"/>
        <v>1625.5718895249997</v>
      </c>
      <c r="F584" s="534">
        <v>19</v>
      </c>
      <c r="G584" s="535">
        <f>F584*CCBASE!$B$51</f>
        <v>684</v>
      </c>
      <c r="H584" s="535">
        <f>CCBASE!$I$12*B584/1000</f>
        <v>329.03897757500005</v>
      </c>
      <c r="I584" s="535"/>
      <c r="J584" s="535"/>
      <c r="K584" s="535"/>
      <c r="L584" s="534"/>
      <c r="M584" s="535">
        <f>CCBASE!$I$15*B584/1000</f>
        <v>219.57618375000001</v>
      </c>
      <c r="N584" s="535">
        <f>CCBASE!$I$7*B584/1000</f>
        <v>86.74127</v>
      </c>
      <c r="O584" s="535">
        <f>CCBASE!$I$45*B584/1000</f>
        <v>27.4175</v>
      </c>
      <c r="P584" s="535"/>
      <c r="Q584" s="535">
        <f>CCBASE!$I$51</f>
        <v>2.9</v>
      </c>
      <c r="R584" s="535">
        <f>CCBASE!$I$4</f>
        <v>8.3986041999999994</v>
      </c>
      <c r="S584" s="535">
        <f>CCBASE!$I$8</f>
        <v>16.25526</v>
      </c>
      <c r="T584" s="534"/>
      <c r="U584" s="540">
        <f>CCBASE!$I$47*2</f>
        <v>28.82</v>
      </c>
      <c r="V584" s="535"/>
      <c r="W584" s="535">
        <f>CCBASE!$I$40*B584/1000</f>
        <v>113.59711</v>
      </c>
      <c r="X584" s="535"/>
      <c r="Y584" s="535"/>
      <c r="Z584" s="535"/>
      <c r="AA584" s="535"/>
      <c r="AB584" s="535"/>
      <c r="AC584" s="535"/>
      <c r="AD584" s="554">
        <f>CCBASE!$I$32*2</f>
        <v>108.826984</v>
      </c>
      <c r="AI584" s="537"/>
      <c r="AJ584" s="537"/>
      <c r="AN584" s="538"/>
      <c r="AO584" s="538"/>
      <c r="AP584" s="538"/>
      <c r="AQ584" s="538"/>
      <c r="AR584" s="538"/>
      <c r="AS584" s="538"/>
    </row>
    <row r="585" spans="1:45" ht="17" customHeight="1" thickBot="1" x14ac:dyDescent="0.25">
      <c r="A585" s="546" t="s">
        <v>1034</v>
      </c>
      <c r="B585" s="533">
        <v>3000</v>
      </c>
      <c r="C585" s="533">
        <v>1000</v>
      </c>
      <c r="D585" s="553" t="str">
        <f t="shared" si="20"/>
        <v>KVX-M30001000</v>
      </c>
      <c r="E585" s="907">
        <f t="shared" si="21"/>
        <v>1696.1510750999998</v>
      </c>
      <c r="F585" s="534">
        <v>19</v>
      </c>
      <c r="G585" s="535">
        <f>F585*CCBASE!$B$51</f>
        <v>684</v>
      </c>
      <c r="H585" s="535">
        <f>CCBASE!$I$12*B585/1000</f>
        <v>358.95161190000005</v>
      </c>
      <c r="I585" s="535"/>
      <c r="J585" s="535"/>
      <c r="K585" s="535"/>
      <c r="L585" s="534"/>
      <c r="M585" s="535">
        <f>CCBASE!$I$15*B585/1000</f>
        <v>239.53765500000003</v>
      </c>
      <c r="N585" s="535">
        <f>CCBASE!$I$7*B585/1000</f>
        <v>94.626840000000016</v>
      </c>
      <c r="O585" s="535">
        <f>CCBASE!$I$45*B585/1000</f>
        <v>29.910000000000004</v>
      </c>
      <c r="P585" s="535"/>
      <c r="Q585" s="535">
        <f>CCBASE!$I$51</f>
        <v>2.9</v>
      </c>
      <c r="R585" s="535">
        <f>CCBASE!$I$4</f>
        <v>8.3986041999999994</v>
      </c>
      <c r="S585" s="535">
        <f>CCBASE!$I$8</f>
        <v>16.25526</v>
      </c>
      <c r="T585" s="534"/>
      <c r="U585" s="540">
        <f>CCBASE!$I$47*2</f>
        <v>28.82</v>
      </c>
      <c r="V585" s="535"/>
      <c r="W585" s="535">
        <f>CCBASE!$I$40*B585/1000</f>
        <v>123.92412</v>
      </c>
      <c r="X585" s="535"/>
      <c r="Y585" s="535"/>
      <c r="Z585" s="535"/>
      <c r="AA585" s="535"/>
      <c r="AB585" s="535"/>
      <c r="AC585" s="535"/>
      <c r="AD585" s="554">
        <f>CCBASE!$I$32*2</f>
        <v>108.826984</v>
      </c>
      <c r="AI585" s="537"/>
      <c r="AJ585" s="537"/>
      <c r="AN585" s="538"/>
      <c r="AO585" s="538"/>
      <c r="AP585" s="538"/>
      <c r="AQ585" s="538"/>
      <c r="AR585" s="538"/>
      <c r="AS585" s="538"/>
    </row>
    <row r="586" spans="1:45" ht="17" customHeight="1" thickBot="1" x14ac:dyDescent="0.25">
      <c r="A586" s="546" t="s">
        <v>1034</v>
      </c>
      <c r="B586" s="533">
        <v>1000</v>
      </c>
      <c r="C586" s="533">
        <v>1250</v>
      </c>
      <c r="D586" s="553" t="str">
        <f t="shared" si="20"/>
        <v>KVX-M10001250</v>
      </c>
      <c r="E586" s="907">
        <f t="shared" si="21"/>
        <v>1045.1075905</v>
      </c>
      <c r="F586" s="549">
        <v>17</v>
      </c>
      <c r="G586" s="535">
        <f>F586*CCBASE!$B$51</f>
        <v>612</v>
      </c>
      <c r="H586" s="535">
        <f>CCBASE!$I$12*B586/1000</f>
        <v>119.65053730000001</v>
      </c>
      <c r="I586" s="535"/>
      <c r="J586" s="535"/>
      <c r="K586" s="535"/>
      <c r="L586" s="534"/>
      <c r="M586" s="535">
        <f>CCBASE!$I$15*B586/1000</f>
        <v>79.84588500000001</v>
      </c>
      <c r="N586" s="535">
        <f>CCBASE!$I$7*B586/1000</f>
        <v>31.542280000000002</v>
      </c>
      <c r="O586" s="535">
        <f>CCBASE!$I$45*B586/1000</f>
        <v>9.9700000000000006</v>
      </c>
      <c r="P586" s="535"/>
      <c r="Q586" s="535">
        <f>CCBASE!$I$51</f>
        <v>2.9</v>
      </c>
      <c r="R586" s="535">
        <f>CCBASE!$I$4</f>
        <v>8.3986041999999994</v>
      </c>
      <c r="S586" s="535">
        <f>CCBASE!$I$8</f>
        <v>16.25526</v>
      </c>
      <c r="T586" s="534"/>
      <c r="U586" s="540">
        <f>CCBASE!$I$47</f>
        <v>14.41</v>
      </c>
      <c r="V586" s="535"/>
      <c r="W586" s="535">
        <f>CCBASE!$I$40*B586/1000</f>
        <v>41.308039999999998</v>
      </c>
      <c r="X586" s="535"/>
      <c r="Y586" s="535"/>
      <c r="Z586" s="535"/>
      <c r="AA586" s="535"/>
      <c r="AB586" s="535"/>
      <c r="AC586" s="535"/>
      <c r="AD586" s="554">
        <f>CCBASE!$I$32*2</f>
        <v>108.826984</v>
      </c>
      <c r="AI586" s="537"/>
      <c r="AJ586" s="537"/>
      <c r="AK586" s="538"/>
      <c r="AL586" s="538"/>
      <c r="AM586" s="538"/>
      <c r="AN586" s="538"/>
      <c r="AO586" s="538"/>
      <c r="AP586" s="538"/>
      <c r="AQ586" s="538"/>
      <c r="AR586" s="538"/>
      <c r="AS586" s="538"/>
    </row>
    <row r="587" spans="1:45" ht="17" customHeight="1" thickBot="1" x14ac:dyDescent="0.25">
      <c r="A587" s="546" t="s">
        <v>1034</v>
      </c>
      <c r="B587" s="533">
        <v>1250</v>
      </c>
      <c r="C587" s="533">
        <v>1250</v>
      </c>
      <c r="D587" s="553" t="str">
        <f t="shared" si="20"/>
        <v>KVX-M12501250</v>
      </c>
      <c r="E587" s="907">
        <f t="shared" si="21"/>
        <v>1115.6867760749999</v>
      </c>
      <c r="F587" s="534">
        <v>17</v>
      </c>
      <c r="G587" s="535">
        <f>F587*CCBASE!$B$51</f>
        <v>612</v>
      </c>
      <c r="H587" s="535">
        <f>CCBASE!$I$12*B587/1000</f>
        <v>149.56317162500002</v>
      </c>
      <c r="I587" s="535"/>
      <c r="J587" s="535"/>
      <c r="K587" s="535"/>
      <c r="L587" s="534"/>
      <c r="M587" s="535">
        <f>CCBASE!$I$15*B587/1000</f>
        <v>99.807356250000012</v>
      </c>
      <c r="N587" s="535">
        <f>CCBASE!$I$7*B587/1000</f>
        <v>39.427849999999999</v>
      </c>
      <c r="O587" s="535">
        <f>CCBASE!$I$45*B587/1000</f>
        <v>12.4625</v>
      </c>
      <c r="P587" s="535"/>
      <c r="Q587" s="535">
        <f>CCBASE!$I$51</f>
        <v>2.9</v>
      </c>
      <c r="R587" s="535">
        <f>CCBASE!$I$4</f>
        <v>8.3986041999999994</v>
      </c>
      <c r="S587" s="535">
        <f>CCBASE!$I$8</f>
        <v>16.25526</v>
      </c>
      <c r="T587" s="534"/>
      <c r="U587" s="540">
        <f>CCBASE!$I$47</f>
        <v>14.41</v>
      </c>
      <c r="V587" s="535"/>
      <c r="W587" s="535">
        <f>CCBASE!$I$40*B587/1000</f>
        <v>51.635049999999993</v>
      </c>
      <c r="X587" s="535"/>
      <c r="Y587" s="535"/>
      <c r="Z587" s="535"/>
      <c r="AA587" s="535"/>
      <c r="AB587" s="535"/>
      <c r="AC587" s="535"/>
      <c r="AD587" s="554">
        <f>CCBASE!$I$32*2</f>
        <v>108.826984</v>
      </c>
      <c r="AI587" s="537"/>
      <c r="AJ587" s="537"/>
      <c r="AK587" s="538"/>
      <c r="AL587" s="538"/>
      <c r="AM587" s="538"/>
      <c r="AN587" s="538"/>
      <c r="AO587" s="538"/>
      <c r="AP587" s="538"/>
      <c r="AQ587" s="538"/>
      <c r="AR587" s="538"/>
      <c r="AS587" s="538"/>
    </row>
    <row r="588" spans="1:45" ht="17" customHeight="1" thickBot="1" x14ac:dyDescent="0.25">
      <c r="A588" s="546" t="s">
        <v>1034</v>
      </c>
      <c r="B588" s="533">
        <v>1500</v>
      </c>
      <c r="C588" s="533">
        <v>1250</v>
      </c>
      <c r="D588" s="553" t="str">
        <f t="shared" si="20"/>
        <v>KVX-M15001250</v>
      </c>
      <c r="E588" s="907">
        <f t="shared" si="21"/>
        <v>1186.26596165</v>
      </c>
      <c r="F588" s="534">
        <v>17</v>
      </c>
      <c r="G588" s="535">
        <f>F588*CCBASE!$B$51</f>
        <v>612</v>
      </c>
      <c r="H588" s="535">
        <f>CCBASE!$I$12*B588/1000</f>
        <v>179.47580595000002</v>
      </c>
      <c r="I588" s="535"/>
      <c r="J588" s="535"/>
      <c r="K588" s="535"/>
      <c r="L588" s="534"/>
      <c r="M588" s="535">
        <f>CCBASE!$I$15*B588/1000</f>
        <v>119.76882750000001</v>
      </c>
      <c r="N588" s="535">
        <f>CCBASE!$I$7*B588/1000</f>
        <v>47.313420000000008</v>
      </c>
      <c r="O588" s="535">
        <f>CCBASE!$I$45*B588/1000</f>
        <v>14.955000000000002</v>
      </c>
      <c r="P588" s="535"/>
      <c r="Q588" s="535">
        <f>CCBASE!$I$51</f>
        <v>2.9</v>
      </c>
      <c r="R588" s="535">
        <f>CCBASE!$I$4</f>
        <v>8.3986041999999994</v>
      </c>
      <c r="S588" s="535">
        <f>CCBASE!$I$8</f>
        <v>16.25526</v>
      </c>
      <c r="T588" s="534"/>
      <c r="U588" s="540">
        <f>CCBASE!$I$47</f>
        <v>14.41</v>
      </c>
      <c r="V588" s="535"/>
      <c r="W588" s="535">
        <f>CCBASE!$I$40*B588/1000</f>
        <v>61.962060000000001</v>
      </c>
      <c r="X588" s="535"/>
      <c r="Y588" s="535"/>
      <c r="Z588" s="535"/>
      <c r="AA588" s="535"/>
      <c r="AB588" s="535"/>
      <c r="AC588" s="535"/>
      <c r="AD588" s="554">
        <f>CCBASE!$I$32*2</f>
        <v>108.826984</v>
      </c>
      <c r="AI588" s="537"/>
      <c r="AJ588" s="537"/>
      <c r="AK588" s="538"/>
      <c r="AL588" s="538"/>
      <c r="AM588" s="538"/>
      <c r="AN588" s="538"/>
      <c r="AO588" s="538"/>
      <c r="AP588" s="538"/>
      <c r="AQ588" s="538"/>
      <c r="AR588" s="538"/>
      <c r="AS588" s="538"/>
    </row>
    <row r="589" spans="1:45" ht="17" customHeight="1" thickBot="1" x14ac:dyDescent="0.25">
      <c r="A589" s="546" t="s">
        <v>1034</v>
      </c>
      <c r="B589" s="533">
        <v>1750</v>
      </c>
      <c r="C589" s="533">
        <v>1250</v>
      </c>
      <c r="D589" s="553" t="str">
        <f t="shared" si="20"/>
        <v>KVX-M17501250</v>
      </c>
      <c r="E589" s="907">
        <f t="shared" si="21"/>
        <v>1292.8451472250001</v>
      </c>
      <c r="F589" s="534">
        <v>18</v>
      </c>
      <c r="G589" s="535">
        <f>F589*CCBASE!$B$51</f>
        <v>648</v>
      </c>
      <c r="H589" s="535">
        <f>CCBASE!$I$12*B589/1000</f>
        <v>209.38844027500002</v>
      </c>
      <c r="I589" s="535"/>
      <c r="J589" s="535"/>
      <c r="K589" s="535"/>
      <c r="L589" s="534"/>
      <c r="M589" s="535">
        <f>CCBASE!$I$15*B589/1000</f>
        <v>139.73029875</v>
      </c>
      <c r="N589" s="535">
        <f>CCBASE!$I$7*B589/1000</f>
        <v>55.198990000000002</v>
      </c>
      <c r="O589" s="535">
        <f>CCBASE!$I$45*B589/1000</f>
        <v>17.447500000000002</v>
      </c>
      <c r="P589" s="535"/>
      <c r="Q589" s="535">
        <f>CCBASE!$I$51</f>
        <v>2.9</v>
      </c>
      <c r="R589" s="535">
        <f>CCBASE!$I$4</f>
        <v>8.3986041999999994</v>
      </c>
      <c r="S589" s="535">
        <f>CCBASE!$I$8</f>
        <v>16.25526</v>
      </c>
      <c r="T589" s="534"/>
      <c r="U589" s="540">
        <f>CCBASE!$I$47</f>
        <v>14.41</v>
      </c>
      <c r="V589" s="535"/>
      <c r="W589" s="535">
        <f>CCBASE!$I$40*B589/1000</f>
        <v>72.289069999999995</v>
      </c>
      <c r="X589" s="535"/>
      <c r="Y589" s="535"/>
      <c r="Z589" s="535"/>
      <c r="AA589" s="535"/>
      <c r="AB589" s="535"/>
      <c r="AC589" s="535"/>
      <c r="AD589" s="554">
        <f>CCBASE!$I$32*2</f>
        <v>108.826984</v>
      </c>
      <c r="AI589" s="537"/>
      <c r="AJ589" s="537"/>
      <c r="AN589" s="538"/>
      <c r="AO589" s="538"/>
      <c r="AP589" s="538"/>
      <c r="AQ589" s="538"/>
      <c r="AR589" s="538"/>
      <c r="AS589" s="538"/>
    </row>
    <row r="590" spans="1:45" ht="17" customHeight="1" thickBot="1" x14ac:dyDescent="0.25">
      <c r="A590" s="546" t="s">
        <v>1034</v>
      </c>
      <c r="B590" s="533">
        <v>2000</v>
      </c>
      <c r="C590" s="533">
        <v>1250</v>
      </c>
      <c r="D590" s="553" t="str">
        <f t="shared" si="20"/>
        <v>KVX-M20001250</v>
      </c>
      <c r="E590" s="907">
        <f t="shared" si="21"/>
        <v>1363.4243328</v>
      </c>
      <c r="F590" s="534">
        <v>18</v>
      </c>
      <c r="G590" s="535">
        <f>F590*CCBASE!$B$51</f>
        <v>648</v>
      </c>
      <c r="H590" s="535">
        <f>CCBASE!$I$12*B590/1000</f>
        <v>239.30107460000002</v>
      </c>
      <c r="I590" s="535"/>
      <c r="J590" s="535"/>
      <c r="K590" s="535"/>
      <c r="L590" s="534"/>
      <c r="M590" s="535">
        <f>CCBASE!$I$15*B590/1000</f>
        <v>159.69177000000002</v>
      </c>
      <c r="N590" s="535">
        <f>CCBASE!$I$7*B590/1000</f>
        <v>63.084560000000003</v>
      </c>
      <c r="O590" s="535">
        <f>CCBASE!$I$45*B590/1000</f>
        <v>19.940000000000001</v>
      </c>
      <c r="P590" s="535"/>
      <c r="Q590" s="535">
        <f>CCBASE!$I$51</f>
        <v>2.9</v>
      </c>
      <c r="R590" s="535">
        <f>CCBASE!$I$4</f>
        <v>8.3986041999999994</v>
      </c>
      <c r="S590" s="535">
        <f>CCBASE!$I$8</f>
        <v>16.25526</v>
      </c>
      <c r="T590" s="534"/>
      <c r="U590" s="540">
        <f>CCBASE!$I$47</f>
        <v>14.41</v>
      </c>
      <c r="V590" s="535"/>
      <c r="W590" s="535">
        <f>CCBASE!$I$40*B590/1000</f>
        <v>82.616079999999997</v>
      </c>
      <c r="X590" s="535"/>
      <c r="Y590" s="535"/>
      <c r="Z590" s="535"/>
      <c r="AA590" s="535"/>
      <c r="AB590" s="535"/>
      <c r="AC590" s="535"/>
      <c r="AD590" s="554">
        <f>CCBASE!$I$32*2</f>
        <v>108.826984</v>
      </c>
      <c r="AI590" s="537"/>
      <c r="AJ590" s="537"/>
      <c r="AN590" s="538"/>
      <c r="AO590" s="538"/>
      <c r="AP590" s="538"/>
      <c r="AQ590" s="538"/>
      <c r="AR590" s="538"/>
      <c r="AS590" s="538"/>
    </row>
    <row r="591" spans="1:45" ht="17" customHeight="1" thickBot="1" x14ac:dyDescent="0.25">
      <c r="A591" s="546" t="s">
        <v>1034</v>
      </c>
      <c r="B591" s="533">
        <v>2250</v>
      </c>
      <c r="C591" s="533">
        <v>1250</v>
      </c>
      <c r="D591" s="553" t="str">
        <f t="shared" si="20"/>
        <v>KVX-M22501250</v>
      </c>
      <c r="E591" s="907">
        <f t="shared" si="21"/>
        <v>1448.4135183749997</v>
      </c>
      <c r="F591" s="534">
        <v>18</v>
      </c>
      <c r="G591" s="535">
        <f>F591*CCBASE!$B$51</f>
        <v>648</v>
      </c>
      <c r="H591" s="535">
        <f>CCBASE!$I$12*B591/1000</f>
        <v>269.21370892500005</v>
      </c>
      <c r="I591" s="535"/>
      <c r="J591" s="535"/>
      <c r="K591" s="535"/>
      <c r="L591" s="534"/>
      <c r="M591" s="535">
        <f>CCBASE!$I$15*B591/1000</f>
        <v>179.65324125000001</v>
      </c>
      <c r="N591" s="535">
        <f>CCBASE!$I$7*B591/1000</f>
        <v>70.970130000000012</v>
      </c>
      <c r="O591" s="535">
        <f>CCBASE!$I$45*B591/1000</f>
        <v>22.432500000000001</v>
      </c>
      <c r="P591" s="535"/>
      <c r="Q591" s="535">
        <f>CCBASE!$I$51</f>
        <v>2.9</v>
      </c>
      <c r="R591" s="535">
        <f>CCBASE!$I$4</f>
        <v>8.3986041999999994</v>
      </c>
      <c r="S591" s="535">
        <f>CCBASE!$I$8</f>
        <v>16.25526</v>
      </c>
      <c r="T591" s="534"/>
      <c r="U591" s="540">
        <f>CCBASE!$I$47*2</f>
        <v>28.82</v>
      </c>
      <c r="V591" s="535"/>
      <c r="W591" s="535">
        <f>CCBASE!$I$40*B591/1000</f>
        <v>92.943089999999998</v>
      </c>
      <c r="X591" s="535"/>
      <c r="Y591" s="535"/>
      <c r="Z591" s="535"/>
      <c r="AA591" s="535"/>
      <c r="AB591" s="535"/>
      <c r="AC591" s="535"/>
      <c r="AD591" s="554">
        <f>CCBASE!$I$32*2</f>
        <v>108.826984</v>
      </c>
      <c r="AI591" s="537"/>
      <c r="AJ591" s="537"/>
      <c r="AN591" s="538"/>
      <c r="AO591" s="538"/>
      <c r="AP591" s="538"/>
      <c r="AQ591" s="538"/>
      <c r="AR591" s="538"/>
      <c r="AS591" s="538"/>
    </row>
    <row r="592" spans="1:45" ht="17" customHeight="1" thickBot="1" x14ac:dyDescent="0.25">
      <c r="A592" s="546" t="s">
        <v>1034</v>
      </c>
      <c r="B592" s="533">
        <v>2500</v>
      </c>
      <c r="C592" s="533">
        <v>1250</v>
      </c>
      <c r="D592" s="553" t="str">
        <f t="shared" si="20"/>
        <v>KVX-M25001250</v>
      </c>
      <c r="E592" s="907">
        <f t="shared" si="21"/>
        <v>1554.9927039499999</v>
      </c>
      <c r="F592" s="534">
        <v>19</v>
      </c>
      <c r="G592" s="535">
        <f>F592*CCBASE!$B$51</f>
        <v>684</v>
      </c>
      <c r="H592" s="535">
        <f>CCBASE!$I$12*B592/1000</f>
        <v>299.12634325000005</v>
      </c>
      <c r="I592" s="535"/>
      <c r="J592" s="535"/>
      <c r="K592" s="535"/>
      <c r="L592" s="534"/>
      <c r="M592" s="535">
        <f>CCBASE!$I$15*B592/1000</f>
        <v>199.61471250000002</v>
      </c>
      <c r="N592" s="535">
        <f>CCBASE!$I$7*B592/1000</f>
        <v>78.855699999999999</v>
      </c>
      <c r="O592" s="535">
        <f>CCBASE!$I$45*B592/1000</f>
        <v>24.925000000000001</v>
      </c>
      <c r="P592" s="535"/>
      <c r="Q592" s="535">
        <f>CCBASE!$I$51</f>
        <v>2.9</v>
      </c>
      <c r="R592" s="535">
        <f>CCBASE!$I$4</f>
        <v>8.3986041999999994</v>
      </c>
      <c r="S592" s="535">
        <f>CCBASE!$I$8</f>
        <v>16.25526</v>
      </c>
      <c r="T592" s="534"/>
      <c r="U592" s="540">
        <f>CCBASE!$I$47*2</f>
        <v>28.82</v>
      </c>
      <c r="V592" s="535"/>
      <c r="W592" s="535">
        <f>CCBASE!$I$40*B592/1000</f>
        <v>103.27009999999999</v>
      </c>
      <c r="X592" s="535"/>
      <c r="Y592" s="535"/>
      <c r="Z592" s="535"/>
      <c r="AA592" s="535"/>
      <c r="AB592" s="535"/>
      <c r="AC592" s="535"/>
      <c r="AD592" s="554">
        <f>CCBASE!$I$32*2</f>
        <v>108.826984</v>
      </c>
      <c r="AI592" s="537"/>
      <c r="AJ592" s="537"/>
      <c r="AN592" s="538"/>
      <c r="AO592" s="538"/>
      <c r="AP592" s="538"/>
      <c r="AQ592" s="538"/>
      <c r="AR592" s="538"/>
      <c r="AS592" s="538"/>
    </row>
    <row r="593" spans="1:45" ht="17" customHeight="1" thickBot="1" x14ac:dyDescent="0.25">
      <c r="A593" s="546" t="s">
        <v>1034</v>
      </c>
      <c r="B593" s="533">
        <v>2750</v>
      </c>
      <c r="C593" s="533">
        <v>1250</v>
      </c>
      <c r="D593" s="553" t="str">
        <f t="shared" si="20"/>
        <v>KVX-M27501250</v>
      </c>
      <c r="E593" s="907">
        <f t="shared" si="21"/>
        <v>1625.5718895249997</v>
      </c>
      <c r="F593" s="534">
        <v>19</v>
      </c>
      <c r="G593" s="535">
        <f>F593*CCBASE!$B$51</f>
        <v>684</v>
      </c>
      <c r="H593" s="535">
        <f>CCBASE!$I$12*B593/1000</f>
        <v>329.03897757500005</v>
      </c>
      <c r="I593" s="535"/>
      <c r="J593" s="535"/>
      <c r="K593" s="535"/>
      <c r="L593" s="534"/>
      <c r="M593" s="535">
        <f>CCBASE!$I$15*B593/1000</f>
        <v>219.57618375000001</v>
      </c>
      <c r="N593" s="535">
        <f>CCBASE!$I$7*B593/1000</f>
        <v>86.74127</v>
      </c>
      <c r="O593" s="535">
        <f>CCBASE!$I$45*B593/1000</f>
        <v>27.4175</v>
      </c>
      <c r="P593" s="535"/>
      <c r="Q593" s="535">
        <f>CCBASE!$I$51</f>
        <v>2.9</v>
      </c>
      <c r="R593" s="535">
        <f>CCBASE!$I$4</f>
        <v>8.3986041999999994</v>
      </c>
      <c r="S593" s="535">
        <f>CCBASE!$I$8</f>
        <v>16.25526</v>
      </c>
      <c r="T593" s="534"/>
      <c r="U593" s="540">
        <f>CCBASE!$I$47*2</f>
        <v>28.82</v>
      </c>
      <c r="V593" s="535"/>
      <c r="W593" s="535">
        <f>CCBASE!$I$40*B593/1000</f>
        <v>113.59711</v>
      </c>
      <c r="X593" s="535"/>
      <c r="Y593" s="535"/>
      <c r="Z593" s="535"/>
      <c r="AA593" s="535"/>
      <c r="AB593" s="535"/>
      <c r="AC593" s="535"/>
      <c r="AD593" s="554">
        <f>CCBASE!$I$32*2</f>
        <v>108.826984</v>
      </c>
      <c r="AI593" s="537"/>
      <c r="AJ593" s="537"/>
      <c r="AN593" s="538"/>
      <c r="AO593" s="538"/>
      <c r="AP593" s="538"/>
      <c r="AQ593" s="538"/>
      <c r="AR593" s="538"/>
      <c r="AS593" s="538"/>
    </row>
    <row r="594" spans="1:45" ht="17" customHeight="1" thickBot="1" x14ac:dyDescent="0.25">
      <c r="A594" s="546" t="s">
        <v>1034</v>
      </c>
      <c r="B594" s="533">
        <v>3000</v>
      </c>
      <c r="C594" s="533">
        <v>1250</v>
      </c>
      <c r="D594" s="553" t="str">
        <f t="shared" si="20"/>
        <v>KVX-M30001250</v>
      </c>
      <c r="E594" s="907">
        <f t="shared" si="21"/>
        <v>1696.1510750999998</v>
      </c>
      <c r="F594" s="534">
        <v>19</v>
      </c>
      <c r="G594" s="535">
        <f>F594*CCBASE!$B$51</f>
        <v>684</v>
      </c>
      <c r="H594" s="535">
        <f>CCBASE!$I$12*B594/1000</f>
        <v>358.95161190000005</v>
      </c>
      <c r="I594" s="535"/>
      <c r="J594" s="535"/>
      <c r="K594" s="535"/>
      <c r="L594" s="534"/>
      <c r="M594" s="535">
        <f>CCBASE!$I$15*B594/1000</f>
        <v>239.53765500000003</v>
      </c>
      <c r="N594" s="535">
        <f>CCBASE!$I$7*B594/1000</f>
        <v>94.626840000000016</v>
      </c>
      <c r="O594" s="535">
        <f>CCBASE!$I$45*B594/1000</f>
        <v>29.910000000000004</v>
      </c>
      <c r="P594" s="535"/>
      <c r="Q594" s="535">
        <f>CCBASE!$I$51</f>
        <v>2.9</v>
      </c>
      <c r="R594" s="535">
        <f>CCBASE!$I$4</f>
        <v>8.3986041999999994</v>
      </c>
      <c r="S594" s="535">
        <f>CCBASE!$I$8</f>
        <v>16.25526</v>
      </c>
      <c r="T594" s="534"/>
      <c r="U594" s="540">
        <f>CCBASE!$I$47*2</f>
        <v>28.82</v>
      </c>
      <c r="V594" s="535"/>
      <c r="W594" s="535">
        <f>CCBASE!$I$40*B594/1000</f>
        <v>123.92412</v>
      </c>
      <c r="X594" s="535"/>
      <c r="Y594" s="535"/>
      <c r="Z594" s="535"/>
      <c r="AA594" s="535"/>
      <c r="AB594" s="535"/>
      <c r="AC594" s="535"/>
      <c r="AD594" s="554">
        <f>CCBASE!$I$32*2</f>
        <v>108.826984</v>
      </c>
      <c r="AI594" s="537"/>
      <c r="AJ594" s="537"/>
      <c r="AN594" s="538"/>
      <c r="AO594" s="538"/>
      <c r="AP594" s="538"/>
      <c r="AQ594" s="538"/>
      <c r="AR594" s="538"/>
      <c r="AS594" s="538"/>
    </row>
    <row r="595" spans="1:45" ht="17" customHeight="1" thickBot="1" x14ac:dyDescent="0.25">
      <c r="A595" s="546" t="s">
        <v>1034</v>
      </c>
      <c r="B595" s="533">
        <v>1000</v>
      </c>
      <c r="C595" s="533">
        <v>1500</v>
      </c>
      <c r="D595" s="553" t="str">
        <f t="shared" si="20"/>
        <v>KVX-M10001500</v>
      </c>
      <c r="E595" s="907">
        <f t="shared" si="21"/>
        <v>1090.0578664999998</v>
      </c>
      <c r="F595" s="549">
        <v>17</v>
      </c>
      <c r="G595" s="535">
        <f>F595*CCBASE!$B$51</f>
        <v>612</v>
      </c>
      <c r="H595" s="535">
        <f>CCBASE!$I$12*B595/1000</f>
        <v>119.65053730000001</v>
      </c>
      <c r="I595" s="535"/>
      <c r="J595" s="535"/>
      <c r="K595" s="535"/>
      <c r="L595" s="534"/>
      <c r="M595" s="535">
        <f>CCBASE!$I$15*B595/1000</f>
        <v>79.84588500000001</v>
      </c>
      <c r="N595" s="535">
        <f>CCBASE!$I$7*B595/1000</f>
        <v>31.542280000000002</v>
      </c>
      <c r="O595" s="535">
        <f>CCBASE!$I$45*B595/1000</f>
        <v>9.9700000000000006</v>
      </c>
      <c r="P595" s="535"/>
      <c r="Q595" s="535">
        <f>CCBASE!$I$51</f>
        <v>2.9</v>
      </c>
      <c r="R595" s="535">
        <f>CCBASE!$I$4</f>
        <v>8.3986041999999994</v>
      </c>
      <c r="S595" s="535">
        <f>CCBASE!$I$8</f>
        <v>16.25526</v>
      </c>
      <c r="T595" s="534"/>
      <c r="U595" s="540">
        <f>CCBASE!$I$47</f>
        <v>14.41</v>
      </c>
      <c r="V595" s="535"/>
      <c r="W595" s="535">
        <f>CCBASE!$I$41*B595/1000</f>
        <v>59.051569999999998</v>
      </c>
      <c r="X595" s="535"/>
      <c r="Y595" s="535"/>
      <c r="Z595" s="535"/>
      <c r="AA595" s="535"/>
      <c r="AB595" s="535"/>
      <c r="AC595" s="535"/>
      <c r="AD595" s="554">
        <f>CCBASE!$I$33*2</f>
        <v>136.03372999999999</v>
      </c>
      <c r="AI595" s="537"/>
      <c r="AJ595" s="537"/>
      <c r="AN595" s="538"/>
      <c r="AO595" s="538"/>
      <c r="AP595" s="538"/>
      <c r="AQ595" s="538"/>
      <c r="AR595" s="538"/>
      <c r="AS595" s="538"/>
    </row>
    <row r="596" spans="1:45" ht="17" customHeight="1" thickBot="1" x14ac:dyDescent="0.25">
      <c r="A596" s="546" t="s">
        <v>1034</v>
      </c>
      <c r="B596" s="533">
        <v>1250</v>
      </c>
      <c r="C596" s="533">
        <v>1500</v>
      </c>
      <c r="D596" s="553" t="str">
        <f t="shared" si="20"/>
        <v>KVX-M12501500</v>
      </c>
      <c r="E596" s="907">
        <f t="shared" si="21"/>
        <v>1165.0729345750001</v>
      </c>
      <c r="F596" s="534">
        <v>17</v>
      </c>
      <c r="G596" s="535">
        <f>F596*CCBASE!$B$51</f>
        <v>612</v>
      </c>
      <c r="H596" s="535">
        <f>CCBASE!$I$12*B596/1000</f>
        <v>149.56317162500002</v>
      </c>
      <c r="I596" s="535"/>
      <c r="J596" s="535"/>
      <c r="K596" s="535"/>
      <c r="L596" s="534"/>
      <c r="M596" s="535">
        <f>CCBASE!$I$15*B596/1000</f>
        <v>99.807356250000012</v>
      </c>
      <c r="N596" s="535">
        <f>CCBASE!$I$7*B596/1000</f>
        <v>39.427849999999999</v>
      </c>
      <c r="O596" s="535">
        <f>CCBASE!$I$45*B596/1000</f>
        <v>12.4625</v>
      </c>
      <c r="P596" s="535"/>
      <c r="Q596" s="535">
        <f>CCBASE!$I$51</f>
        <v>2.9</v>
      </c>
      <c r="R596" s="535">
        <f>CCBASE!$I$4</f>
        <v>8.3986041999999994</v>
      </c>
      <c r="S596" s="535">
        <f>CCBASE!$I$8</f>
        <v>16.25526</v>
      </c>
      <c r="T596" s="534"/>
      <c r="U596" s="540">
        <f>CCBASE!$I$47</f>
        <v>14.41</v>
      </c>
      <c r="V596" s="535"/>
      <c r="W596" s="535">
        <f>CCBASE!$I$41*B596/1000</f>
        <v>73.814462499999991</v>
      </c>
      <c r="X596" s="535"/>
      <c r="Y596" s="535"/>
      <c r="Z596" s="535"/>
      <c r="AA596" s="535"/>
      <c r="AB596" s="535"/>
      <c r="AC596" s="535"/>
      <c r="AD596" s="554">
        <f>CCBASE!$I$33*2</f>
        <v>136.03372999999999</v>
      </c>
      <c r="AI596" s="537"/>
      <c r="AJ596" s="537"/>
      <c r="AK596" s="538"/>
      <c r="AL596" s="538"/>
      <c r="AM596" s="538"/>
      <c r="AN596" s="538"/>
      <c r="AO596" s="538"/>
      <c r="AP596" s="538"/>
      <c r="AQ596" s="538"/>
      <c r="AR596" s="538"/>
      <c r="AS596" s="538"/>
    </row>
    <row r="597" spans="1:45" ht="17" customHeight="1" thickBot="1" x14ac:dyDescent="0.25">
      <c r="A597" s="546" t="s">
        <v>1034</v>
      </c>
      <c r="B597" s="533">
        <v>1500</v>
      </c>
      <c r="C597" s="533">
        <v>1500</v>
      </c>
      <c r="D597" s="553" t="str">
        <f t="shared" si="20"/>
        <v>KVX-M15001500</v>
      </c>
      <c r="E597" s="907">
        <f t="shared" si="21"/>
        <v>1240.0880026499999</v>
      </c>
      <c r="F597" s="534">
        <v>17</v>
      </c>
      <c r="G597" s="535">
        <f>F597*CCBASE!$B$51</f>
        <v>612</v>
      </c>
      <c r="H597" s="535">
        <f>CCBASE!$I$12*B597/1000</f>
        <v>179.47580595000002</v>
      </c>
      <c r="I597" s="535"/>
      <c r="J597" s="535"/>
      <c r="K597" s="535"/>
      <c r="L597" s="534"/>
      <c r="M597" s="535">
        <f>CCBASE!$I$15*B597/1000</f>
        <v>119.76882750000001</v>
      </c>
      <c r="N597" s="535">
        <f>CCBASE!$I$7*B597/1000</f>
        <v>47.313420000000008</v>
      </c>
      <c r="O597" s="535">
        <f>CCBASE!$I$45*B597/1000</f>
        <v>14.955000000000002</v>
      </c>
      <c r="P597" s="535"/>
      <c r="Q597" s="535">
        <f>CCBASE!$I$51</f>
        <v>2.9</v>
      </c>
      <c r="R597" s="535">
        <f>CCBASE!$I$4</f>
        <v>8.3986041999999994</v>
      </c>
      <c r="S597" s="535">
        <f>CCBASE!$I$8</f>
        <v>16.25526</v>
      </c>
      <c r="T597" s="534"/>
      <c r="U597" s="540">
        <f>CCBASE!$I$47</f>
        <v>14.41</v>
      </c>
      <c r="V597" s="535"/>
      <c r="W597" s="535">
        <f>CCBASE!$I$41*B597/1000</f>
        <v>88.577354999999997</v>
      </c>
      <c r="X597" s="535"/>
      <c r="Y597" s="535"/>
      <c r="Z597" s="535"/>
      <c r="AA597" s="535"/>
      <c r="AB597" s="535"/>
      <c r="AC597" s="535"/>
      <c r="AD597" s="554">
        <f>CCBASE!$I$33*2</f>
        <v>136.03372999999999</v>
      </c>
      <c r="AI597" s="537"/>
      <c r="AJ597" s="537"/>
      <c r="AK597" s="538"/>
      <c r="AL597" s="538"/>
      <c r="AM597" s="538"/>
      <c r="AN597" s="538"/>
      <c r="AO597" s="538"/>
      <c r="AP597" s="538"/>
      <c r="AQ597" s="538"/>
      <c r="AR597" s="538"/>
      <c r="AS597" s="538"/>
    </row>
    <row r="598" spans="1:45" ht="17" customHeight="1" thickBot="1" x14ac:dyDescent="0.25">
      <c r="A598" s="546" t="s">
        <v>1034</v>
      </c>
      <c r="B598" s="533">
        <v>1750</v>
      </c>
      <c r="C598" s="533">
        <v>1500</v>
      </c>
      <c r="D598" s="553" t="str">
        <f t="shared" si="20"/>
        <v>KVX-M17501500</v>
      </c>
      <c r="E598" s="907">
        <f t="shared" si="21"/>
        <v>1351.1030707250002</v>
      </c>
      <c r="F598" s="534">
        <v>18</v>
      </c>
      <c r="G598" s="535">
        <f>F598*CCBASE!$B$51</f>
        <v>648</v>
      </c>
      <c r="H598" s="535">
        <f>CCBASE!$I$12*B598/1000</f>
        <v>209.38844027500002</v>
      </c>
      <c r="I598" s="535"/>
      <c r="J598" s="535"/>
      <c r="K598" s="535"/>
      <c r="L598" s="534"/>
      <c r="M598" s="535">
        <f>CCBASE!$I$15*B598/1000</f>
        <v>139.73029875</v>
      </c>
      <c r="N598" s="535">
        <f>CCBASE!$I$7*B598/1000</f>
        <v>55.198990000000002</v>
      </c>
      <c r="O598" s="535">
        <f>CCBASE!$I$45*B598/1000</f>
        <v>17.447500000000002</v>
      </c>
      <c r="P598" s="535"/>
      <c r="Q598" s="535">
        <f>CCBASE!$I$51</f>
        <v>2.9</v>
      </c>
      <c r="R598" s="535">
        <f>CCBASE!$I$4</f>
        <v>8.3986041999999994</v>
      </c>
      <c r="S598" s="535">
        <f>CCBASE!$I$8</f>
        <v>16.25526</v>
      </c>
      <c r="T598" s="534"/>
      <c r="U598" s="540">
        <f>CCBASE!$I$47</f>
        <v>14.41</v>
      </c>
      <c r="V598" s="535"/>
      <c r="W598" s="535">
        <f>CCBASE!$I$41*B598/1000</f>
        <v>103.3402475</v>
      </c>
      <c r="X598" s="535"/>
      <c r="Y598" s="535"/>
      <c r="Z598" s="535"/>
      <c r="AA598" s="535"/>
      <c r="AB598" s="535"/>
      <c r="AC598" s="535"/>
      <c r="AD598" s="554">
        <f>CCBASE!$I$33*2</f>
        <v>136.03372999999999</v>
      </c>
      <c r="AI598" s="537"/>
      <c r="AJ598" s="537"/>
      <c r="AK598" s="538"/>
      <c r="AL598" s="538"/>
      <c r="AM598" s="538"/>
      <c r="AN598" s="538"/>
      <c r="AO598" s="538"/>
      <c r="AP598" s="538"/>
      <c r="AQ598" s="538"/>
      <c r="AR598" s="538"/>
      <c r="AS598" s="538"/>
    </row>
    <row r="599" spans="1:45" ht="17" customHeight="1" thickBot="1" x14ac:dyDescent="0.25">
      <c r="A599" s="546" t="s">
        <v>1034</v>
      </c>
      <c r="B599" s="533">
        <v>2000</v>
      </c>
      <c r="C599" s="533">
        <v>1500</v>
      </c>
      <c r="D599" s="553" t="str">
        <f t="shared" si="20"/>
        <v>KVX-M20001500</v>
      </c>
      <c r="E599" s="907">
        <f t="shared" si="21"/>
        <v>1426.1181388</v>
      </c>
      <c r="F599" s="534">
        <v>18</v>
      </c>
      <c r="G599" s="535">
        <f>F599*CCBASE!$B$51</f>
        <v>648</v>
      </c>
      <c r="H599" s="535">
        <f>CCBASE!$I$12*B599/1000</f>
        <v>239.30107460000002</v>
      </c>
      <c r="I599" s="535"/>
      <c r="J599" s="535"/>
      <c r="K599" s="535"/>
      <c r="L599" s="534"/>
      <c r="M599" s="535">
        <f>CCBASE!$I$15*B599/1000</f>
        <v>159.69177000000002</v>
      </c>
      <c r="N599" s="535">
        <f>CCBASE!$I$7*B599/1000</f>
        <v>63.084560000000003</v>
      </c>
      <c r="O599" s="535">
        <f>CCBASE!$I$45*B599/1000</f>
        <v>19.940000000000001</v>
      </c>
      <c r="P599" s="535"/>
      <c r="Q599" s="535">
        <f>CCBASE!$I$51</f>
        <v>2.9</v>
      </c>
      <c r="R599" s="535">
        <f>CCBASE!$I$4</f>
        <v>8.3986041999999994</v>
      </c>
      <c r="S599" s="535">
        <f>CCBASE!$I$8</f>
        <v>16.25526</v>
      </c>
      <c r="T599" s="534"/>
      <c r="U599" s="540">
        <f>CCBASE!$I$47</f>
        <v>14.41</v>
      </c>
      <c r="V599" s="535"/>
      <c r="W599" s="535">
        <f>CCBASE!$I$41*B599/1000</f>
        <v>118.10314</v>
      </c>
      <c r="X599" s="535"/>
      <c r="Y599" s="535"/>
      <c r="Z599" s="535"/>
      <c r="AA599" s="535"/>
      <c r="AB599" s="535"/>
      <c r="AC599" s="535"/>
      <c r="AD599" s="554">
        <f>CCBASE!$I$33*2</f>
        <v>136.03372999999999</v>
      </c>
      <c r="AI599" s="537"/>
      <c r="AJ599" s="537"/>
      <c r="AK599" s="538"/>
      <c r="AL599" s="538"/>
      <c r="AM599" s="538"/>
      <c r="AN599" s="538"/>
      <c r="AO599" s="538"/>
      <c r="AP599" s="538"/>
      <c r="AQ599" s="538"/>
      <c r="AR599" s="538"/>
      <c r="AS599" s="538"/>
    </row>
    <row r="600" spans="1:45" ht="17" customHeight="1" thickBot="1" x14ac:dyDescent="0.25">
      <c r="A600" s="546" t="s">
        <v>1034</v>
      </c>
      <c r="B600" s="533">
        <v>2250</v>
      </c>
      <c r="C600" s="533">
        <v>1500</v>
      </c>
      <c r="D600" s="553" t="str">
        <f t="shared" si="20"/>
        <v>KVX-M22501500</v>
      </c>
      <c r="E600" s="907">
        <f t="shared" si="21"/>
        <v>1515.5432068749997</v>
      </c>
      <c r="F600" s="534">
        <v>18</v>
      </c>
      <c r="G600" s="535">
        <f>F600*CCBASE!$B$51</f>
        <v>648</v>
      </c>
      <c r="H600" s="535">
        <f>CCBASE!$I$12*B600/1000</f>
        <v>269.21370892500005</v>
      </c>
      <c r="I600" s="535"/>
      <c r="J600" s="535"/>
      <c r="K600" s="535"/>
      <c r="L600" s="534"/>
      <c r="M600" s="535">
        <f>CCBASE!$I$15*B600/1000</f>
        <v>179.65324125000001</v>
      </c>
      <c r="N600" s="535">
        <f>CCBASE!$I$7*B600/1000</f>
        <v>70.970130000000012</v>
      </c>
      <c r="O600" s="535">
        <f>CCBASE!$I$45*B600/1000</f>
        <v>22.432500000000001</v>
      </c>
      <c r="P600" s="535"/>
      <c r="Q600" s="535">
        <f>CCBASE!$I$51</f>
        <v>2.9</v>
      </c>
      <c r="R600" s="535">
        <f>CCBASE!$I$4</f>
        <v>8.3986041999999994</v>
      </c>
      <c r="S600" s="535">
        <f>CCBASE!$I$8</f>
        <v>16.25526</v>
      </c>
      <c r="T600" s="534"/>
      <c r="U600" s="540">
        <f>CCBASE!$I$47*2</f>
        <v>28.82</v>
      </c>
      <c r="V600" s="535"/>
      <c r="W600" s="535">
        <f>CCBASE!$I$41*B600/1000</f>
        <v>132.86603249999999</v>
      </c>
      <c r="X600" s="535"/>
      <c r="Y600" s="535"/>
      <c r="Z600" s="535"/>
      <c r="AA600" s="535"/>
      <c r="AB600" s="535"/>
      <c r="AC600" s="535"/>
      <c r="AD600" s="554">
        <f>CCBASE!$I$33*2</f>
        <v>136.03372999999999</v>
      </c>
      <c r="AI600" s="537"/>
      <c r="AJ600" s="537"/>
      <c r="AK600" s="538"/>
      <c r="AL600" s="538"/>
      <c r="AM600" s="538"/>
      <c r="AN600" s="538"/>
      <c r="AO600" s="538"/>
      <c r="AP600" s="538"/>
      <c r="AQ600" s="538"/>
      <c r="AR600" s="538"/>
      <c r="AS600" s="538"/>
    </row>
    <row r="601" spans="1:45" ht="17" customHeight="1" thickBot="1" x14ac:dyDescent="0.25">
      <c r="A601" s="546" t="s">
        <v>1034</v>
      </c>
      <c r="B601" s="533">
        <v>2500</v>
      </c>
      <c r="C601" s="533">
        <v>1500</v>
      </c>
      <c r="D601" s="553" t="str">
        <f t="shared" si="20"/>
        <v>KVX-M25001500</v>
      </c>
      <c r="E601" s="907">
        <f t="shared" si="21"/>
        <v>1626.5582749499999</v>
      </c>
      <c r="F601" s="534">
        <v>19</v>
      </c>
      <c r="G601" s="535">
        <f>F601*CCBASE!$B$51</f>
        <v>684</v>
      </c>
      <c r="H601" s="535">
        <f>CCBASE!$I$12*B601/1000</f>
        <v>299.12634325000005</v>
      </c>
      <c r="I601" s="535"/>
      <c r="J601" s="535"/>
      <c r="K601" s="535"/>
      <c r="L601" s="534"/>
      <c r="M601" s="535">
        <f>CCBASE!$I$15*B601/1000</f>
        <v>199.61471250000002</v>
      </c>
      <c r="N601" s="535">
        <f>CCBASE!$I$7*B601/1000</f>
        <v>78.855699999999999</v>
      </c>
      <c r="O601" s="535">
        <f>CCBASE!$I$45*B601/1000</f>
        <v>24.925000000000001</v>
      </c>
      <c r="P601" s="535"/>
      <c r="Q601" s="535">
        <f>CCBASE!$I$51</f>
        <v>2.9</v>
      </c>
      <c r="R601" s="535">
        <f>CCBASE!$I$4</f>
        <v>8.3986041999999994</v>
      </c>
      <c r="S601" s="535">
        <f>CCBASE!$I$8</f>
        <v>16.25526</v>
      </c>
      <c r="T601" s="534"/>
      <c r="U601" s="540">
        <f>CCBASE!$I$47*2</f>
        <v>28.82</v>
      </c>
      <c r="V601" s="535"/>
      <c r="W601" s="535">
        <f>CCBASE!$I$41*B601/1000</f>
        <v>147.62892499999998</v>
      </c>
      <c r="X601" s="535"/>
      <c r="Y601" s="535"/>
      <c r="Z601" s="535"/>
      <c r="AA601" s="535"/>
      <c r="AB601" s="535"/>
      <c r="AC601" s="535"/>
      <c r="AD601" s="554">
        <f>CCBASE!$I$33*2</f>
        <v>136.03372999999999</v>
      </c>
      <c r="AI601" s="537"/>
      <c r="AJ601" s="537"/>
      <c r="AK601" s="538"/>
      <c r="AL601" s="538"/>
      <c r="AM601" s="538"/>
      <c r="AN601" s="538"/>
      <c r="AO601" s="538"/>
      <c r="AP601" s="538"/>
      <c r="AQ601" s="538"/>
      <c r="AR601" s="538"/>
      <c r="AS601" s="538"/>
    </row>
    <row r="602" spans="1:45" ht="17" customHeight="1" thickBot="1" x14ac:dyDescent="0.25">
      <c r="A602" s="546" t="s">
        <v>1034</v>
      </c>
      <c r="B602" s="533">
        <v>2750</v>
      </c>
      <c r="C602" s="533">
        <v>1500</v>
      </c>
      <c r="D602" s="553" t="str">
        <f t="shared" si="20"/>
        <v>KVX-M27501500</v>
      </c>
      <c r="E602" s="907">
        <f t="shared" si="21"/>
        <v>1701.5733430249998</v>
      </c>
      <c r="F602" s="534">
        <v>19</v>
      </c>
      <c r="G602" s="535">
        <f>F602*CCBASE!$B$51</f>
        <v>684</v>
      </c>
      <c r="H602" s="535">
        <f>CCBASE!$I$12*B602/1000</f>
        <v>329.03897757500005</v>
      </c>
      <c r="I602" s="535"/>
      <c r="J602" s="535"/>
      <c r="K602" s="535"/>
      <c r="L602" s="534"/>
      <c r="M602" s="535">
        <f>CCBASE!$I$15*B602/1000</f>
        <v>219.57618375000001</v>
      </c>
      <c r="N602" s="535">
        <f>CCBASE!$I$7*B602/1000</f>
        <v>86.74127</v>
      </c>
      <c r="O602" s="535">
        <f>CCBASE!$I$45*B602/1000</f>
        <v>27.4175</v>
      </c>
      <c r="P602" s="535"/>
      <c r="Q602" s="535">
        <f>CCBASE!$I$51</f>
        <v>2.9</v>
      </c>
      <c r="R602" s="535">
        <f>CCBASE!$I$4</f>
        <v>8.3986041999999994</v>
      </c>
      <c r="S602" s="535">
        <f>CCBASE!$I$8</f>
        <v>16.25526</v>
      </c>
      <c r="T602" s="534"/>
      <c r="U602" s="540">
        <f>CCBASE!$I$47*2</f>
        <v>28.82</v>
      </c>
      <c r="V602" s="535"/>
      <c r="W602" s="535">
        <f>CCBASE!$I$41*B602/1000</f>
        <v>162.3918175</v>
      </c>
      <c r="X602" s="535"/>
      <c r="Y602" s="535"/>
      <c r="Z602" s="535"/>
      <c r="AA602" s="535"/>
      <c r="AB602" s="535"/>
      <c r="AC602" s="535"/>
      <c r="AD602" s="554">
        <f>CCBASE!$I$33*2</f>
        <v>136.03372999999999</v>
      </c>
      <c r="AI602" s="537"/>
      <c r="AJ602" s="537"/>
      <c r="AN602" s="538"/>
      <c r="AO602" s="538"/>
      <c r="AP602" s="538"/>
      <c r="AQ602" s="538"/>
      <c r="AR602" s="538"/>
      <c r="AS602" s="538"/>
    </row>
    <row r="603" spans="1:45" ht="17" customHeight="1" thickBot="1" x14ac:dyDescent="0.25">
      <c r="A603" s="546" t="s">
        <v>1034</v>
      </c>
      <c r="B603" s="533">
        <v>3000</v>
      </c>
      <c r="C603" s="533">
        <v>1500</v>
      </c>
      <c r="D603" s="553" t="str">
        <f t="shared" si="20"/>
        <v>KVX-M30001500</v>
      </c>
      <c r="E603" s="907">
        <f t="shared" si="21"/>
        <v>1776.5884111</v>
      </c>
      <c r="F603" s="534">
        <v>19</v>
      </c>
      <c r="G603" s="535">
        <f>F603*CCBASE!$B$51</f>
        <v>684</v>
      </c>
      <c r="H603" s="535">
        <f>CCBASE!$I$12*B603/1000</f>
        <v>358.95161190000005</v>
      </c>
      <c r="I603" s="535"/>
      <c r="J603" s="535"/>
      <c r="K603" s="535"/>
      <c r="L603" s="534"/>
      <c r="M603" s="535">
        <f>CCBASE!$I$15*B603/1000</f>
        <v>239.53765500000003</v>
      </c>
      <c r="N603" s="535">
        <f>CCBASE!$I$7*B603/1000</f>
        <v>94.626840000000016</v>
      </c>
      <c r="O603" s="535">
        <f>CCBASE!$I$45*B603/1000</f>
        <v>29.910000000000004</v>
      </c>
      <c r="P603" s="535"/>
      <c r="Q603" s="535">
        <f>CCBASE!$I$51</f>
        <v>2.9</v>
      </c>
      <c r="R603" s="535">
        <f>CCBASE!$I$4</f>
        <v>8.3986041999999994</v>
      </c>
      <c r="S603" s="535">
        <f>CCBASE!$I$8</f>
        <v>16.25526</v>
      </c>
      <c r="T603" s="534"/>
      <c r="U603" s="540">
        <f>CCBASE!$I$47*2</f>
        <v>28.82</v>
      </c>
      <c r="V603" s="535"/>
      <c r="W603" s="535">
        <f>CCBASE!$I$41*B603/1000</f>
        <v>177.15470999999999</v>
      </c>
      <c r="X603" s="535"/>
      <c r="Y603" s="535"/>
      <c r="Z603" s="535"/>
      <c r="AA603" s="535"/>
      <c r="AB603" s="535"/>
      <c r="AC603" s="535"/>
      <c r="AD603" s="554">
        <f>CCBASE!$I$33*2</f>
        <v>136.03372999999999</v>
      </c>
      <c r="AI603" s="537"/>
      <c r="AJ603" s="537"/>
      <c r="AN603" s="538"/>
      <c r="AO603" s="538"/>
      <c r="AP603" s="538"/>
      <c r="AQ603" s="538"/>
      <c r="AR603" s="538"/>
      <c r="AS603" s="538"/>
    </row>
    <row r="604" spans="1:45" ht="17" customHeight="1" thickBot="1" x14ac:dyDescent="0.25">
      <c r="A604" s="546" t="s">
        <v>1034</v>
      </c>
      <c r="B604" s="533">
        <v>1000</v>
      </c>
      <c r="C604" s="533">
        <v>1750</v>
      </c>
      <c r="D604" s="553" t="str">
        <f t="shared" si="20"/>
        <v>KVX-M10001750</v>
      </c>
      <c r="E604" s="907">
        <f t="shared" si="21"/>
        <v>1175.2268104999998</v>
      </c>
      <c r="F604" s="549">
        <v>17</v>
      </c>
      <c r="G604" s="535">
        <f>F604*CCBASE!$B$51</f>
        <v>612</v>
      </c>
      <c r="H604" s="535">
        <f>CCBASE!$I$12*B604/1000</f>
        <v>119.65053730000001</v>
      </c>
      <c r="I604" s="535"/>
      <c r="J604" s="535"/>
      <c r="K604" s="535"/>
      <c r="L604" s="540"/>
      <c r="M604" s="535">
        <f>CCBASE!$I$15*B604/1000</f>
        <v>79.84588500000001</v>
      </c>
      <c r="N604" s="535">
        <f>CCBASE!$I$7*B604/1000</f>
        <v>31.542280000000002</v>
      </c>
      <c r="O604" s="535">
        <f>CCBASE!$I$45*B604/1000</f>
        <v>9.9700000000000006</v>
      </c>
      <c r="P604" s="535"/>
      <c r="Q604" s="535">
        <f>CCBASE!$I$51</f>
        <v>2.9</v>
      </c>
      <c r="R604" s="535">
        <f>CCBASE!$I$4</f>
        <v>8.3986041999999994</v>
      </c>
      <c r="S604" s="535">
        <f>CCBASE!$I$8</f>
        <v>16.25526</v>
      </c>
      <c r="T604" s="534"/>
      <c r="U604" s="540">
        <f>CCBASE!$I$47</f>
        <v>14.41</v>
      </c>
      <c r="V604" s="534"/>
      <c r="W604" s="535">
        <f>CCBASE!$I$42*B604/1000</f>
        <v>70.880589999999998</v>
      </c>
      <c r="X604" s="535"/>
      <c r="Y604" s="535"/>
      <c r="Z604" s="535"/>
      <c r="AA604" s="535"/>
      <c r="AB604" s="535"/>
      <c r="AC604" s="535"/>
      <c r="AD604" s="554">
        <f>CCBASE!$I$34*2</f>
        <v>209.37365399999999</v>
      </c>
      <c r="AI604" s="537"/>
      <c r="AJ604" s="537"/>
      <c r="AK604" s="538"/>
      <c r="AL604" s="538"/>
      <c r="AM604" s="538"/>
      <c r="AN604" s="538"/>
      <c r="AO604" s="538"/>
      <c r="AP604" s="538"/>
      <c r="AQ604" s="538"/>
      <c r="AR604" s="538"/>
      <c r="AS604" s="538"/>
    </row>
    <row r="605" spans="1:45" ht="17" customHeight="1" thickBot="1" x14ac:dyDescent="0.25">
      <c r="A605" s="546" t="s">
        <v>1034</v>
      </c>
      <c r="B605" s="533">
        <v>1250</v>
      </c>
      <c r="C605" s="533">
        <v>1750</v>
      </c>
      <c r="D605" s="553" t="str">
        <f t="shared" si="20"/>
        <v>KVX-M12501750</v>
      </c>
      <c r="E605" s="907">
        <f t="shared" ref="E605:E636" si="22">SUM(G605:AD605)</f>
        <v>1253.1991335749999</v>
      </c>
      <c r="F605" s="534">
        <v>17</v>
      </c>
      <c r="G605" s="535">
        <f>F605*CCBASE!$B$51</f>
        <v>612</v>
      </c>
      <c r="H605" s="535">
        <f>CCBASE!$I$12*B605/1000</f>
        <v>149.56317162500002</v>
      </c>
      <c r="I605" s="535"/>
      <c r="J605" s="535"/>
      <c r="K605" s="535"/>
      <c r="L605" s="540"/>
      <c r="M605" s="535">
        <f>CCBASE!$I$15*B605/1000</f>
        <v>99.807356250000012</v>
      </c>
      <c r="N605" s="535">
        <f>CCBASE!$I$7*B605/1000</f>
        <v>39.427849999999999</v>
      </c>
      <c r="O605" s="535">
        <f>CCBASE!$I$45*B605/1000</f>
        <v>12.4625</v>
      </c>
      <c r="P605" s="535"/>
      <c r="Q605" s="535">
        <f>CCBASE!$I$51</f>
        <v>2.9</v>
      </c>
      <c r="R605" s="535">
        <f>CCBASE!$I$4</f>
        <v>8.3986041999999994</v>
      </c>
      <c r="S605" s="535">
        <f>CCBASE!$I$8</f>
        <v>16.25526</v>
      </c>
      <c r="T605" s="534"/>
      <c r="U605" s="540">
        <f>CCBASE!$I$47</f>
        <v>14.41</v>
      </c>
      <c r="V605" s="534"/>
      <c r="W605" s="535">
        <f>CCBASE!$I$42*B605/1000</f>
        <v>88.600737500000008</v>
      </c>
      <c r="X605" s="535"/>
      <c r="Y605" s="535"/>
      <c r="Z605" s="535"/>
      <c r="AA605" s="535"/>
      <c r="AB605" s="535"/>
      <c r="AC605" s="535"/>
      <c r="AD605" s="554">
        <f>CCBASE!$I$34*2</f>
        <v>209.37365399999999</v>
      </c>
      <c r="AI605" s="537"/>
      <c r="AJ605" s="537"/>
      <c r="AK605" s="538"/>
      <c r="AL605" s="538"/>
      <c r="AM605" s="538"/>
      <c r="AN605" s="538"/>
      <c r="AO605" s="538"/>
      <c r="AP605" s="538"/>
      <c r="AQ605" s="538"/>
      <c r="AR605" s="538"/>
      <c r="AS605" s="538"/>
    </row>
    <row r="606" spans="1:45" ht="17" customHeight="1" thickBot="1" x14ac:dyDescent="0.25">
      <c r="A606" s="546" t="s">
        <v>1034</v>
      </c>
      <c r="B606" s="533">
        <v>1500</v>
      </c>
      <c r="C606" s="533">
        <v>1750</v>
      </c>
      <c r="D606" s="553" t="str">
        <f t="shared" si="20"/>
        <v>KVX-M15001750</v>
      </c>
      <c r="E606" s="907">
        <f t="shared" si="22"/>
        <v>1331.17145665</v>
      </c>
      <c r="F606" s="534">
        <v>17</v>
      </c>
      <c r="G606" s="535">
        <f>F606*CCBASE!$B$51</f>
        <v>612</v>
      </c>
      <c r="H606" s="535">
        <f>CCBASE!$I$12*B606/1000</f>
        <v>179.47580595000002</v>
      </c>
      <c r="I606" s="535"/>
      <c r="J606" s="535"/>
      <c r="K606" s="535"/>
      <c r="L606" s="540"/>
      <c r="M606" s="535">
        <f>CCBASE!$I$15*B606/1000</f>
        <v>119.76882750000001</v>
      </c>
      <c r="N606" s="535">
        <f>CCBASE!$I$7*B606/1000</f>
        <v>47.313420000000008</v>
      </c>
      <c r="O606" s="535">
        <f>CCBASE!$I$45*B606/1000</f>
        <v>14.955000000000002</v>
      </c>
      <c r="P606" s="535"/>
      <c r="Q606" s="535">
        <f>CCBASE!$I$51</f>
        <v>2.9</v>
      </c>
      <c r="R606" s="535">
        <f>CCBASE!$I$4</f>
        <v>8.3986041999999994</v>
      </c>
      <c r="S606" s="535">
        <f>CCBASE!$I$8</f>
        <v>16.25526</v>
      </c>
      <c r="T606" s="534"/>
      <c r="U606" s="540">
        <f>CCBASE!$I$47</f>
        <v>14.41</v>
      </c>
      <c r="V606" s="534"/>
      <c r="W606" s="535">
        <f>CCBASE!$I$42*B606/1000</f>
        <v>106.32088499999999</v>
      </c>
      <c r="X606" s="535"/>
      <c r="Y606" s="535"/>
      <c r="Z606" s="535"/>
      <c r="AA606" s="535"/>
      <c r="AB606" s="535"/>
      <c r="AC606" s="535"/>
      <c r="AD606" s="554">
        <f>CCBASE!$I$34*2</f>
        <v>209.37365399999999</v>
      </c>
      <c r="AI606" s="537"/>
      <c r="AJ606" s="537"/>
      <c r="AK606" s="538"/>
      <c r="AL606" s="538"/>
      <c r="AM606" s="538"/>
      <c r="AN606" s="538"/>
      <c r="AO606" s="538"/>
      <c r="AP606" s="538"/>
      <c r="AQ606" s="538"/>
      <c r="AR606" s="538"/>
      <c r="AS606" s="538"/>
    </row>
    <row r="607" spans="1:45" ht="17" customHeight="1" thickBot="1" x14ac:dyDescent="0.25">
      <c r="A607" s="546" t="s">
        <v>1034</v>
      </c>
      <c r="B607" s="533">
        <v>1750</v>
      </c>
      <c r="C607" s="533">
        <v>1750</v>
      </c>
      <c r="D607" s="553" t="str">
        <f t="shared" si="20"/>
        <v>KVX-M17501750</v>
      </c>
      <c r="E607" s="907">
        <f t="shared" si="22"/>
        <v>1445.1437797250001</v>
      </c>
      <c r="F607" s="534">
        <v>18</v>
      </c>
      <c r="G607" s="535">
        <f>F607*CCBASE!$B$51</f>
        <v>648</v>
      </c>
      <c r="H607" s="535">
        <f>CCBASE!$I$12*B607/1000</f>
        <v>209.38844027500002</v>
      </c>
      <c r="I607" s="535"/>
      <c r="J607" s="535"/>
      <c r="K607" s="535"/>
      <c r="L607" s="540"/>
      <c r="M607" s="535">
        <f>CCBASE!$I$15*B607/1000</f>
        <v>139.73029875</v>
      </c>
      <c r="N607" s="535">
        <f>CCBASE!$I$7*B607/1000</f>
        <v>55.198990000000002</v>
      </c>
      <c r="O607" s="535">
        <f>CCBASE!$I$45*B607/1000</f>
        <v>17.447500000000002</v>
      </c>
      <c r="P607" s="535"/>
      <c r="Q607" s="535">
        <f>CCBASE!$I$51</f>
        <v>2.9</v>
      </c>
      <c r="R607" s="535">
        <f>CCBASE!$I$4</f>
        <v>8.3986041999999994</v>
      </c>
      <c r="S607" s="535">
        <f>CCBASE!$I$8</f>
        <v>16.25526</v>
      </c>
      <c r="T607" s="534"/>
      <c r="U607" s="540">
        <f>CCBASE!$I$47</f>
        <v>14.41</v>
      </c>
      <c r="V607" s="534"/>
      <c r="W607" s="535">
        <f>CCBASE!$I$42*B607/1000</f>
        <v>124.0410325</v>
      </c>
      <c r="X607" s="535"/>
      <c r="Y607" s="535"/>
      <c r="Z607" s="535"/>
      <c r="AA607" s="535"/>
      <c r="AB607" s="535"/>
      <c r="AC607" s="535"/>
      <c r="AD607" s="554">
        <f>CCBASE!$I$34*2</f>
        <v>209.37365399999999</v>
      </c>
      <c r="AI607" s="537"/>
      <c r="AJ607" s="537"/>
    </row>
    <row r="608" spans="1:45" ht="17" customHeight="1" thickBot="1" x14ac:dyDescent="0.25">
      <c r="A608" s="546" t="s">
        <v>1034</v>
      </c>
      <c r="B608" s="533">
        <v>2000</v>
      </c>
      <c r="C608" s="533">
        <v>1750</v>
      </c>
      <c r="D608" s="553" t="str">
        <f t="shared" ref="D608:D670" si="23">$A608&amp;B608&amp;C608</f>
        <v>KVX-M20001750</v>
      </c>
      <c r="E608" s="907">
        <f t="shared" si="22"/>
        <v>1523.1161027999999</v>
      </c>
      <c r="F608" s="534">
        <v>18</v>
      </c>
      <c r="G608" s="535">
        <f>F608*CCBASE!$B$51</f>
        <v>648</v>
      </c>
      <c r="H608" s="535">
        <f>CCBASE!$I$12*B608/1000</f>
        <v>239.30107460000002</v>
      </c>
      <c r="I608" s="535"/>
      <c r="J608" s="535"/>
      <c r="K608" s="535"/>
      <c r="L608" s="540"/>
      <c r="M608" s="535">
        <f>CCBASE!$I$15*B608/1000</f>
        <v>159.69177000000002</v>
      </c>
      <c r="N608" s="535">
        <f>CCBASE!$I$7*B608/1000</f>
        <v>63.084560000000003</v>
      </c>
      <c r="O608" s="535">
        <f>CCBASE!$I$45*B608/1000</f>
        <v>19.940000000000001</v>
      </c>
      <c r="P608" s="535"/>
      <c r="Q608" s="535">
        <f>CCBASE!$I$51</f>
        <v>2.9</v>
      </c>
      <c r="R608" s="535">
        <f>CCBASE!$I$4</f>
        <v>8.3986041999999994</v>
      </c>
      <c r="S608" s="535">
        <f>CCBASE!$I$8</f>
        <v>16.25526</v>
      </c>
      <c r="T608" s="534"/>
      <c r="U608" s="540">
        <f>CCBASE!$I$47</f>
        <v>14.41</v>
      </c>
      <c r="V608" s="534"/>
      <c r="W608" s="535">
        <f>CCBASE!$I$42*B608/1000</f>
        <v>141.76118</v>
      </c>
      <c r="X608" s="535"/>
      <c r="Y608" s="535"/>
      <c r="Z608" s="535"/>
      <c r="AA608" s="535"/>
      <c r="AB608" s="535"/>
      <c r="AC608" s="535"/>
      <c r="AD608" s="554">
        <f>CCBASE!$I$34*2</f>
        <v>209.37365399999999</v>
      </c>
      <c r="AI608" s="537"/>
      <c r="AJ608" s="537"/>
      <c r="AR608" s="538"/>
      <c r="AS608" s="538"/>
    </row>
    <row r="609" spans="1:45" ht="17" customHeight="1" thickBot="1" x14ac:dyDescent="0.25">
      <c r="A609" s="546" t="s">
        <v>1034</v>
      </c>
      <c r="B609" s="533">
        <v>2250</v>
      </c>
      <c r="C609" s="533">
        <v>1750</v>
      </c>
      <c r="D609" s="553" t="str">
        <f t="shared" si="23"/>
        <v>KVX-M22501750</v>
      </c>
      <c r="E609" s="907">
        <f t="shared" si="22"/>
        <v>1615.4984258749996</v>
      </c>
      <c r="F609" s="534">
        <v>18</v>
      </c>
      <c r="G609" s="535">
        <f>F609*CCBASE!$B$51</f>
        <v>648</v>
      </c>
      <c r="H609" s="535">
        <f>CCBASE!$I$12*B609/1000</f>
        <v>269.21370892500005</v>
      </c>
      <c r="I609" s="535"/>
      <c r="J609" s="535"/>
      <c r="K609" s="535"/>
      <c r="L609" s="540"/>
      <c r="M609" s="535">
        <f>CCBASE!$I$15*B609/1000</f>
        <v>179.65324125000001</v>
      </c>
      <c r="N609" s="535">
        <f>CCBASE!$I$7*B609/1000</f>
        <v>70.970130000000012</v>
      </c>
      <c r="O609" s="535">
        <f>CCBASE!$I$45*B609/1000</f>
        <v>22.432500000000001</v>
      </c>
      <c r="P609" s="535"/>
      <c r="Q609" s="535">
        <f>CCBASE!$I$51</f>
        <v>2.9</v>
      </c>
      <c r="R609" s="535">
        <f>CCBASE!$I$4</f>
        <v>8.3986041999999994</v>
      </c>
      <c r="S609" s="535">
        <f>CCBASE!$I$8</f>
        <v>16.25526</v>
      </c>
      <c r="T609" s="534"/>
      <c r="U609" s="540">
        <f>CCBASE!$I$47*2</f>
        <v>28.82</v>
      </c>
      <c r="V609" s="534"/>
      <c r="W609" s="535">
        <f>CCBASE!$I$42*B609/1000</f>
        <v>159.48132749999999</v>
      </c>
      <c r="X609" s="535"/>
      <c r="Y609" s="535"/>
      <c r="Z609" s="535"/>
      <c r="AA609" s="535"/>
      <c r="AB609" s="535"/>
      <c r="AC609" s="535"/>
      <c r="AD609" s="554">
        <f>CCBASE!$I$34*2</f>
        <v>209.37365399999999</v>
      </c>
      <c r="AI609" s="537"/>
      <c r="AJ609" s="537"/>
      <c r="AR609" s="538"/>
      <c r="AS609" s="538"/>
    </row>
    <row r="610" spans="1:45" ht="17" customHeight="1" thickBot="1" x14ac:dyDescent="0.25">
      <c r="A610" s="546" t="s">
        <v>1034</v>
      </c>
      <c r="B610" s="533">
        <v>2500</v>
      </c>
      <c r="C610" s="533">
        <v>1750</v>
      </c>
      <c r="D610" s="553" t="str">
        <f t="shared" si="23"/>
        <v>KVX-M25001750</v>
      </c>
      <c r="E610" s="907">
        <f t="shared" si="22"/>
        <v>1729.4707489499999</v>
      </c>
      <c r="F610" s="534">
        <v>19</v>
      </c>
      <c r="G610" s="535">
        <f>F610*CCBASE!$B$51</f>
        <v>684</v>
      </c>
      <c r="H610" s="535">
        <f>CCBASE!$I$12*B610/1000</f>
        <v>299.12634325000005</v>
      </c>
      <c r="I610" s="535"/>
      <c r="J610" s="535"/>
      <c r="K610" s="535"/>
      <c r="L610" s="540"/>
      <c r="M610" s="535">
        <f>CCBASE!$I$15*B610/1000</f>
        <v>199.61471250000002</v>
      </c>
      <c r="N610" s="535">
        <f>CCBASE!$I$7*B610/1000</f>
        <v>78.855699999999999</v>
      </c>
      <c r="O610" s="535">
        <f>CCBASE!$I$45*B610/1000</f>
        <v>24.925000000000001</v>
      </c>
      <c r="P610" s="535"/>
      <c r="Q610" s="535">
        <f>CCBASE!$I$51</f>
        <v>2.9</v>
      </c>
      <c r="R610" s="535">
        <f>CCBASE!$I$4</f>
        <v>8.3986041999999994</v>
      </c>
      <c r="S610" s="535">
        <f>CCBASE!$I$8</f>
        <v>16.25526</v>
      </c>
      <c r="T610" s="534"/>
      <c r="U610" s="540">
        <f>CCBASE!$I$47*2</f>
        <v>28.82</v>
      </c>
      <c r="V610" s="534"/>
      <c r="W610" s="535">
        <f>CCBASE!$I$42*B610/1000</f>
        <v>177.20147500000002</v>
      </c>
      <c r="X610" s="535"/>
      <c r="Y610" s="535"/>
      <c r="Z610" s="535"/>
      <c r="AA610" s="535"/>
      <c r="AB610" s="535"/>
      <c r="AC610" s="535"/>
      <c r="AD610" s="554">
        <f>CCBASE!$I$34*2</f>
        <v>209.37365399999999</v>
      </c>
      <c r="AI610" s="537"/>
      <c r="AJ610" s="537"/>
      <c r="AR610" s="538"/>
      <c r="AS610" s="538"/>
    </row>
    <row r="611" spans="1:45" ht="17" customHeight="1" thickBot="1" x14ac:dyDescent="0.25">
      <c r="A611" s="546" t="s">
        <v>1034</v>
      </c>
      <c r="B611" s="533">
        <v>2750</v>
      </c>
      <c r="C611" s="533">
        <v>1750</v>
      </c>
      <c r="D611" s="553" t="str">
        <f t="shared" si="23"/>
        <v>KVX-M27501750</v>
      </c>
      <c r="E611" s="907">
        <f t="shared" si="22"/>
        <v>1807.4430720249998</v>
      </c>
      <c r="F611" s="534">
        <v>19</v>
      </c>
      <c r="G611" s="535">
        <f>F611*CCBASE!$B$51</f>
        <v>684</v>
      </c>
      <c r="H611" s="535">
        <f>CCBASE!$I$12*B611/1000</f>
        <v>329.03897757500005</v>
      </c>
      <c r="I611" s="535"/>
      <c r="J611" s="535"/>
      <c r="K611" s="535"/>
      <c r="L611" s="540"/>
      <c r="M611" s="535">
        <f>CCBASE!$I$15*B611/1000</f>
        <v>219.57618375000001</v>
      </c>
      <c r="N611" s="535">
        <f>CCBASE!$I$7*B611/1000</f>
        <v>86.74127</v>
      </c>
      <c r="O611" s="535">
        <f>CCBASE!$I$45*B611/1000</f>
        <v>27.4175</v>
      </c>
      <c r="P611" s="535"/>
      <c r="Q611" s="535">
        <f>CCBASE!$I$51</f>
        <v>2.9</v>
      </c>
      <c r="R611" s="535">
        <f>CCBASE!$I$4</f>
        <v>8.3986041999999994</v>
      </c>
      <c r="S611" s="535">
        <f>CCBASE!$I$8</f>
        <v>16.25526</v>
      </c>
      <c r="T611" s="534"/>
      <c r="U611" s="540">
        <f>CCBASE!$I$47*2</f>
        <v>28.82</v>
      </c>
      <c r="V611" s="534"/>
      <c r="W611" s="535">
        <f>CCBASE!$I$42*B611/1000</f>
        <v>194.92162249999998</v>
      </c>
      <c r="X611" s="535"/>
      <c r="Y611" s="535"/>
      <c r="Z611" s="535"/>
      <c r="AA611" s="535"/>
      <c r="AB611" s="535"/>
      <c r="AC611" s="535"/>
      <c r="AD611" s="554">
        <f>CCBASE!$I$34*2</f>
        <v>209.37365399999999</v>
      </c>
      <c r="AI611" s="537"/>
      <c r="AJ611" s="537"/>
      <c r="AK611" s="538"/>
      <c r="AL611" s="538"/>
      <c r="AM611" s="538"/>
      <c r="AN611" s="538"/>
      <c r="AO611" s="538"/>
      <c r="AP611" s="538"/>
      <c r="AQ611" s="538"/>
      <c r="AR611" s="538"/>
      <c r="AS611" s="538"/>
    </row>
    <row r="612" spans="1:45" ht="17" customHeight="1" thickBot="1" x14ac:dyDescent="0.25">
      <c r="A612" s="546" t="s">
        <v>1034</v>
      </c>
      <c r="B612" s="533">
        <v>3000</v>
      </c>
      <c r="C612" s="533">
        <v>1750</v>
      </c>
      <c r="D612" s="553" t="str">
        <f t="shared" si="23"/>
        <v>KVX-M30001750</v>
      </c>
      <c r="E612" s="907">
        <f t="shared" si="22"/>
        <v>1885.4153950999998</v>
      </c>
      <c r="F612" s="534">
        <v>19</v>
      </c>
      <c r="G612" s="535">
        <f>F612*CCBASE!$B$51</f>
        <v>684</v>
      </c>
      <c r="H612" s="535">
        <f>CCBASE!$I$12*B612/1000</f>
        <v>358.95161190000005</v>
      </c>
      <c r="I612" s="535"/>
      <c r="J612" s="535"/>
      <c r="K612" s="535"/>
      <c r="L612" s="540"/>
      <c r="M612" s="535">
        <f>CCBASE!$I$15*B612/1000</f>
        <v>239.53765500000003</v>
      </c>
      <c r="N612" s="535">
        <f>CCBASE!$I$7*B612/1000</f>
        <v>94.626840000000016</v>
      </c>
      <c r="O612" s="535">
        <f>CCBASE!$I$45*B612/1000</f>
        <v>29.910000000000004</v>
      </c>
      <c r="P612" s="535"/>
      <c r="Q612" s="535">
        <f>CCBASE!$I$51</f>
        <v>2.9</v>
      </c>
      <c r="R612" s="535">
        <f>CCBASE!$I$4</f>
        <v>8.3986041999999994</v>
      </c>
      <c r="S612" s="535">
        <f>CCBASE!$I$8</f>
        <v>16.25526</v>
      </c>
      <c r="T612" s="534"/>
      <c r="U612" s="540">
        <f>CCBASE!$I$47*2</f>
        <v>28.82</v>
      </c>
      <c r="V612" s="534"/>
      <c r="W612" s="535">
        <f>CCBASE!$I$42*B612/1000</f>
        <v>212.64176999999998</v>
      </c>
      <c r="X612" s="535"/>
      <c r="Y612" s="535"/>
      <c r="Z612" s="535"/>
      <c r="AA612" s="535"/>
      <c r="AB612" s="535"/>
      <c r="AC612" s="535"/>
      <c r="AD612" s="554">
        <f>CCBASE!$I$34*2</f>
        <v>209.37365399999999</v>
      </c>
      <c r="AI612" s="537"/>
      <c r="AJ612" s="537"/>
      <c r="AK612" s="538"/>
      <c r="AL612" s="538"/>
      <c r="AM612" s="538"/>
      <c r="AN612" s="538"/>
      <c r="AO612" s="538"/>
      <c r="AP612" s="538"/>
      <c r="AQ612" s="538"/>
      <c r="AR612" s="538"/>
      <c r="AS612" s="538"/>
    </row>
    <row r="613" spans="1:45" ht="17" customHeight="1" thickBot="1" x14ac:dyDescent="0.25">
      <c r="A613" s="546" t="s">
        <v>1034</v>
      </c>
      <c r="B613" s="533">
        <v>1000</v>
      </c>
      <c r="C613" s="533">
        <v>2000</v>
      </c>
      <c r="D613" s="553" t="str">
        <f t="shared" si="23"/>
        <v>KVX-M10002000</v>
      </c>
      <c r="E613" s="907">
        <f t="shared" si="22"/>
        <v>1267.4931664999999</v>
      </c>
      <c r="F613" s="549">
        <v>17</v>
      </c>
      <c r="G613" s="535">
        <f>F613*CCBASE!$B$51</f>
        <v>612</v>
      </c>
      <c r="H613" s="535">
        <f>CCBASE!$I$12*B613/1000</f>
        <v>119.65053730000001</v>
      </c>
      <c r="I613" s="535"/>
      <c r="J613" s="535"/>
      <c r="K613" s="535"/>
      <c r="L613" s="540"/>
      <c r="M613" s="535">
        <f>CCBASE!$I$15*B613/1000</f>
        <v>79.84588500000001</v>
      </c>
      <c r="N613" s="535">
        <f>CCBASE!$I$7*B613/1000</f>
        <v>31.542280000000002</v>
      </c>
      <c r="O613" s="535">
        <f>CCBASE!$I$45*B613/1000</f>
        <v>9.9700000000000006</v>
      </c>
      <c r="P613" s="535"/>
      <c r="Q613" s="535">
        <f>CCBASE!$I$51</f>
        <v>2.9</v>
      </c>
      <c r="R613" s="535">
        <f>CCBASE!$I$4</f>
        <v>8.3986041999999994</v>
      </c>
      <c r="S613" s="535">
        <f>CCBASE!$I$8</f>
        <v>16.25526</v>
      </c>
      <c r="T613" s="534"/>
      <c r="U613" s="540">
        <f>CCBASE!$I$47</f>
        <v>14.41</v>
      </c>
      <c r="V613" s="534"/>
      <c r="W613" s="535">
        <f>CCBASE!$I$43*B613/1000</f>
        <v>88.624119999999991</v>
      </c>
      <c r="X613" s="535"/>
      <c r="Y613" s="535"/>
      <c r="Z613" s="535"/>
      <c r="AA613" s="535"/>
      <c r="AB613" s="535"/>
      <c r="AC613" s="535"/>
      <c r="AD613" s="554">
        <f>CCBASE!$I$35*2</f>
        <v>283.89648</v>
      </c>
      <c r="AI613" s="537"/>
      <c r="AJ613" s="537"/>
      <c r="AK613" s="538"/>
      <c r="AL613" s="538"/>
      <c r="AM613" s="538"/>
      <c r="AN613" s="538"/>
      <c r="AO613" s="538"/>
      <c r="AP613" s="538"/>
      <c r="AQ613" s="538"/>
      <c r="AR613" s="538"/>
      <c r="AS613" s="538"/>
    </row>
    <row r="614" spans="1:45" ht="17" customHeight="1" thickBot="1" x14ac:dyDescent="0.25">
      <c r="A614" s="546" t="s">
        <v>1034</v>
      </c>
      <c r="B614" s="533">
        <v>1250</v>
      </c>
      <c r="C614" s="533">
        <v>2000</v>
      </c>
      <c r="D614" s="553" t="str">
        <f t="shared" si="23"/>
        <v>KVX-M12502000</v>
      </c>
      <c r="E614" s="907">
        <f t="shared" si="22"/>
        <v>1349.9013720749999</v>
      </c>
      <c r="F614" s="534">
        <v>17</v>
      </c>
      <c r="G614" s="535">
        <f>F614*CCBASE!$B$51</f>
        <v>612</v>
      </c>
      <c r="H614" s="535">
        <f>CCBASE!$I$12*B614/1000</f>
        <v>149.56317162500002</v>
      </c>
      <c r="I614" s="535"/>
      <c r="J614" s="535"/>
      <c r="K614" s="535"/>
      <c r="L614" s="540"/>
      <c r="M614" s="535">
        <f>CCBASE!$I$15*B614/1000</f>
        <v>99.807356250000012</v>
      </c>
      <c r="N614" s="535">
        <f>CCBASE!$I$7*B614/1000</f>
        <v>39.427849999999999</v>
      </c>
      <c r="O614" s="535">
        <f>CCBASE!$I$45*B614/1000</f>
        <v>12.4625</v>
      </c>
      <c r="P614" s="535"/>
      <c r="Q614" s="535">
        <f>CCBASE!$I$51</f>
        <v>2.9</v>
      </c>
      <c r="R614" s="535">
        <f>CCBASE!$I$4</f>
        <v>8.3986041999999994</v>
      </c>
      <c r="S614" s="535">
        <f>CCBASE!$I$8</f>
        <v>16.25526</v>
      </c>
      <c r="T614" s="534"/>
      <c r="U614" s="540">
        <f>CCBASE!$I$47</f>
        <v>14.41</v>
      </c>
      <c r="V614" s="534"/>
      <c r="W614" s="535">
        <f>CCBASE!$I$43*B614/1000</f>
        <v>110.78014999999999</v>
      </c>
      <c r="X614" s="535"/>
      <c r="Y614" s="535"/>
      <c r="Z614" s="535"/>
      <c r="AA614" s="535"/>
      <c r="AB614" s="535"/>
      <c r="AC614" s="535"/>
      <c r="AD614" s="554">
        <f>CCBASE!$I$35*2</f>
        <v>283.89648</v>
      </c>
      <c r="AI614" s="537"/>
      <c r="AJ614" s="537"/>
      <c r="AK614" s="538"/>
      <c r="AL614" s="538"/>
      <c r="AM614" s="538"/>
      <c r="AN614" s="538"/>
      <c r="AO614" s="538"/>
      <c r="AP614" s="538"/>
      <c r="AQ614" s="538"/>
      <c r="AR614" s="538"/>
      <c r="AS614" s="538"/>
    </row>
    <row r="615" spans="1:45" ht="17" customHeight="1" thickBot="1" x14ac:dyDescent="0.25">
      <c r="A615" s="546" t="s">
        <v>1034</v>
      </c>
      <c r="B615" s="533">
        <v>1500</v>
      </c>
      <c r="C615" s="533">
        <v>2000</v>
      </c>
      <c r="D615" s="553" t="str">
        <f t="shared" si="23"/>
        <v>KVX-M15002000</v>
      </c>
      <c r="E615" s="907">
        <f t="shared" si="22"/>
        <v>1432.3095776499999</v>
      </c>
      <c r="F615" s="534">
        <v>17</v>
      </c>
      <c r="G615" s="535">
        <f>F615*CCBASE!$B$51</f>
        <v>612</v>
      </c>
      <c r="H615" s="535">
        <f>CCBASE!$I$12*B615/1000</f>
        <v>179.47580595000002</v>
      </c>
      <c r="I615" s="535"/>
      <c r="J615" s="535"/>
      <c r="K615" s="535"/>
      <c r="L615" s="540"/>
      <c r="M615" s="535">
        <f>CCBASE!$I$15*B615/1000</f>
        <v>119.76882750000001</v>
      </c>
      <c r="N615" s="535">
        <f>CCBASE!$I$7*B615/1000</f>
        <v>47.313420000000008</v>
      </c>
      <c r="O615" s="535">
        <f>CCBASE!$I$45*B615/1000</f>
        <v>14.955000000000002</v>
      </c>
      <c r="P615" s="535"/>
      <c r="Q615" s="535">
        <f>CCBASE!$I$51</f>
        <v>2.9</v>
      </c>
      <c r="R615" s="535">
        <f>CCBASE!$I$4</f>
        <v>8.3986041999999994</v>
      </c>
      <c r="S615" s="535">
        <f>CCBASE!$I$8</f>
        <v>16.25526</v>
      </c>
      <c r="T615" s="534"/>
      <c r="U615" s="540">
        <f>CCBASE!$I$47</f>
        <v>14.41</v>
      </c>
      <c r="V615" s="534"/>
      <c r="W615" s="535">
        <f>CCBASE!$I$43*B615/1000</f>
        <v>132.93617999999998</v>
      </c>
      <c r="X615" s="535"/>
      <c r="Y615" s="535"/>
      <c r="Z615" s="535"/>
      <c r="AA615" s="535"/>
      <c r="AB615" s="535"/>
      <c r="AC615" s="535"/>
      <c r="AD615" s="554">
        <f>CCBASE!$I$35*2</f>
        <v>283.89648</v>
      </c>
      <c r="AI615" s="537"/>
      <c r="AJ615" s="537"/>
      <c r="AK615" s="538"/>
      <c r="AL615" s="538"/>
      <c r="AM615" s="538"/>
      <c r="AN615" s="538"/>
      <c r="AO615" s="538"/>
      <c r="AP615" s="538"/>
      <c r="AQ615" s="538"/>
      <c r="AR615" s="538"/>
      <c r="AS615" s="538"/>
    </row>
    <row r="616" spans="1:45" ht="17" customHeight="1" thickBot="1" x14ac:dyDescent="0.25">
      <c r="A616" s="546" t="s">
        <v>1034</v>
      </c>
      <c r="B616" s="533">
        <v>1750</v>
      </c>
      <c r="C616" s="533">
        <v>2000</v>
      </c>
      <c r="D616" s="553" t="str">
        <f t="shared" si="23"/>
        <v>KVX-M17502000</v>
      </c>
      <c r="E616" s="907">
        <f t="shared" si="22"/>
        <v>1550.7177832249999</v>
      </c>
      <c r="F616" s="534">
        <v>18</v>
      </c>
      <c r="G616" s="535">
        <f>F616*CCBASE!$B$51</f>
        <v>648</v>
      </c>
      <c r="H616" s="535">
        <f>CCBASE!$I$12*B616/1000</f>
        <v>209.38844027500002</v>
      </c>
      <c r="I616" s="535"/>
      <c r="J616" s="535"/>
      <c r="K616" s="535"/>
      <c r="L616" s="540"/>
      <c r="M616" s="535">
        <f>CCBASE!$I$15*B616/1000</f>
        <v>139.73029875</v>
      </c>
      <c r="N616" s="535">
        <f>CCBASE!$I$7*B616/1000</f>
        <v>55.198990000000002</v>
      </c>
      <c r="O616" s="535">
        <f>CCBASE!$I$45*B616/1000</f>
        <v>17.447500000000002</v>
      </c>
      <c r="P616" s="535"/>
      <c r="Q616" s="535">
        <f>CCBASE!$I$51</f>
        <v>2.9</v>
      </c>
      <c r="R616" s="535">
        <f>CCBASE!$I$4</f>
        <v>8.3986041999999994</v>
      </c>
      <c r="S616" s="535">
        <f>CCBASE!$I$8</f>
        <v>16.25526</v>
      </c>
      <c r="T616" s="534"/>
      <c r="U616" s="540">
        <f>CCBASE!$I$47</f>
        <v>14.41</v>
      </c>
      <c r="V616" s="534"/>
      <c r="W616" s="535">
        <f>CCBASE!$I$43*B616/1000</f>
        <v>155.09220999999999</v>
      </c>
      <c r="X616" s="535"/>
      <c r="Y616" s="535"/>
      <c r="Z616" s="535"/>
      <c r="AA616" s="535"/>
      <c r="AB616" s="535"/>
      <c r="AC616" s="535"/>
      <c r="AD616" s="554">
        <f>CCBASE!$I$35*2</f>
        <v>283.89648</v>
      </c>
      <c r="AI616" s="537"/>
      <c r="AJ616" s="537"/>
    </row>
    <row r="617" spans="1:45" ht="17" customHeight="1" thickBot="1" x14ac:dyDescent="0.25">
      <c r="A617" s="546" t="s">
        <v>1034</v>
      </c>
      <c r="B617" s="533">
        <v>2000</v>
      </c>
      <c r="C617" s="533">
        <v>2000</v>
      </c>
      <c r="D617" s="553" t="str">
        <f t="shared" si="23"/>
        <v>KVX-M20002000</v>
      </c>
      <c r="E617" s="907">
        <f t="shared" si="22"/>
        <v>1633.1259888</v>
      </c>
      <c r="F617" s="534">
        <v>18</v>
      </c>
      <c r="G617" s="535">
        <f>F617*CCBASE!$B$51</f>
        <v>648</v>
      </c>
      <c r="H617" s="535">
        <f>CCBASE!$I$12*B617/1000</f>
        <v>239.30107460000002</v>
      </c>
      <c r="I617" s="535"/>
      <c r="J617" s="535"/>
      <c r="K617" s="535"/>
      <c r="L617" s="540"/>
      <c r="M617" s="535">
        <f>CCBASE!$I$15*B617/1000</f>
        <v>159.69177000000002</v>
      </c>
      <c r="N617" s="535">
        <f>CCBASE!$I$7*B617/1000</f>
        <v>63.084560000000003</v>
      </c>
      <c r="O617" s="535">
        <f>CCBASE!$I$45*B617/1000</f>
        <v>19.940000000000001</v>
      </c>
      <c r="P617" s="535"/>
      <c r="Q617" s="535">
        <f>CCBASE!$I$51</f>
        <v>2.9</v>
      </c>
      <c r="R617" s="535">
        <f>CCBASE!$I$4</f>
        <v>8.3986041999999994</v>
      </c>
      <c r="S617" s="535">
        <f>CCBASE!$I$8</f>
        <v>16.25526</v>
      </c>
      <c r="T617" s="534"/>
      <c r="U617" s="540">
        <f>CCBASE!$I$47</f>
        <v>14.41</v>
      </c>
      <c r="V617" s="534"/>
      <c r="W617" s="535">
        <f>CCBASE!$I$43*B617/1000</f>
        <v>177.24823999999998</v>
      </c>
      <c r="X617" s="535"/>
      <c r="Y617" s="535"/>
      <c r="Z617" s="535"/>
      <c r="AA617" s="535"/>
      <c r="AB617" s="535"/>
      <c r="AC617" s="535"/>
      <c r="AD617" s="554">
        <f>CCBASE!$I$35*2</f>
        <v>283.89648</v>
      </c>
      <c r="AI617" s="537"/>
      <c r="AJ617" s="537"/>
    </row>
    <row r="618" spans="1:45" ht="17" customHeight="1" thickBot="1" x14ac:dyDescent="0.25">
      <c r="A618" s="546" t="s">
        <v>1034</v>
      </c>
      <c r="B618" s="533">
        <v>2250</v>
      </c>
      <c r="C618" s="533">
        <v>2000</v>
      </c>
      <c r="D618" s="553" t="str">
        <f t="shared" si="23"/>
        <v>KVX-M22502000</v>
      </c>
      <c r="E618" s="907">
        <f t="shared" si="22"/>
        <v>1729.9441943749998</v>
      </c>
      <c r="F618" s="534">
        <v>18</v>
      </c>
      <c r="G618" s="535">
        <f>F618*CCBASE!$B$51</f>
        <v>648</v>
      </c>
      <c r="H618" s="535">
        <f>CCBASE!$I$12*B618/1000</f>
        <v>269.21370892500005</v>
      </c>
      <c r="I618" s="535"/>
      <c r="J618" s="535"/>
      <c r="K618" s="535"/>
      <c r="L618" s="540"/>
      <c r="M618" s="535">
        <f>CCBASE!$I$15*B618/1000</f>
        <v>179.65324125000001</v>
      </c>
      <c r="N618" s="535">
        <f>CCBASE!$I$7*B618/1000</f>
        <v>70.970130000000012</v>
      </c>
      <c r="O618" s="535">
        <f>CCBASE!$I$45*B618/1000</f>
        <v>22.432500000000001</v>
      </c>
      <c r="P618" s="535"/>
      <c r="Q618" s="535">
        <f>CCBASE!$I$51</f>
        <v>2.9</v>
      </c>
      <c r="R618" s="535">
        <f>CCBASE!$I$4</f>
        <v>8.3986041999999994</v>
      </c>
      <c r="S618" s="535">
        <f>CCBASE!$I$8</f>
        <v>16.25526</v>
      </c>
      <c r="T618" s="534"/>
      <c r="U618" s="540">
        <f>CCBASE!$I$47*2</f>
        <v>28.82</v>
      </c>
      <c r="V618" s="534"/>
      <c r="W618" s="535">
        <f>CCBASE!$I$43*B618/1000</f>
        <v>199.40427</v>
      </c>
      <c r="X618" s="535"/>
      <c r="Y618" s="535"/>
      <c r="Z618" s="535"/>
      <c r="AA618" s="535"/>
      <c r="AB618" s="535"/>
      <c r="AC618" s="535"/>
      <c r="AD618" s="554">
        <f>CCBASE!$I$35*2</f>
        <v>283.89648</v>
      </c>
      <c r="AI618" s="537"/>
      <c r="AJ618" s="537"/>
    </row>
    <row r="619" spans="1:45" ht="17" customHeight="1" thickBot="1" x14ac:dyDescent="0.25">
      <c r="A619" s="546" t="s">
        <v>1034</v>
      </c>
      <c r="B619" s="533">
        <v>2500</v>
      </c>
      <c r="C619" s="533">
        <v>2000</v>
      </c>
      <c r="D619" s="553" t="str">
        <f t="shared" si="23"/>
        <v>KVX-M25002000</v>
      </c>
      <c r="E619" s="907">
        <f t="shared" si="22"/>
        <v>1848.3523999499998</v>
      </c>
      <c r="F619" s="534">
        <v>19</v>
      </c>
      <c r="G619" s="535">
        <f>F619*CCBASE!$B$51</f>
        <v>684</v>
      </c>
      <c r="H619" s="535">
        <f>CCBASE!$I$12*B619/1000</f>
        <v>299.12634325000005</v>
      </c>
      <c r="I619" s="535"/>
      <c r="J619" s="535"/>
      <c r="K619" s="535"/>
      <c r="L619" s="540"/>
      <c r="M619" s="535">
        <f>CCBASE!$I$15*B619/1000</f>
        <v>199.61471250000002</v>
      </c>
      <c r="N619" s="535">
        <f>CCBASE!$I$7*B619/1000</f>
        <v>78.855699999999999</v>
      </c>
      <c r="O619" s="535">
        <f>CCBASE!$I$45*B619/1000</f>
        <v>24.925000000000001</v>
      </c>
      <c r="P619" s="535"/>
      <c r="Q619" s="535">
        <f>CCBASE!$I$51</f>
        <v>2.9</v>
      </c>
      <c r="R619" s="535">
        <f>CCBASE!$I$4</f>
        <v>8.3986041999999994</v>
      </c>
      <c r="S619" s="535">
        <f>CCBASE!$I$8</f>
        <v>16.25526</v>
      </c>
      <c r="T619" s="534"/>
      <c r="U619" s="540">
        <f>CCBASE!$I$47*2</f>
        <v>28.82</v>
      </c>
      <c r="V619" s="534"/>
      <c r="W619" s="535">
        <f>CCBASE!$I$43*B619/1000</f>
        <v>221.56029999999998</v>
      </c>
      <c r="X619" s="535"/>
      <c r="Y619" s="535"/>
      <c r="Z619" s="535"/>
      <c r="AA619" s="535"/>
      <c r="AB619" s="535"/>
      <c r="AC619" s="535"/>
      <c r="AD619" s="554">
        <f>CCBASE!$I$35*2</f>
        <v>283.89648</v>
      </c>
      <c r="AI619" s="537"/>
      <c r="AJ619" s="537"/>
      <c r="AR619" s="538"/>
      <c r="AS619" s="538"/>
    </row>
    <row r="620" spans="1:45" ht="17" customHeight="1" thickBot="1" x14ac:dyDescent="0.25">
      <c r="A620" s="546" t="s">
        <v>1034</v>
      </c>
      <c r="B620" s="533">
        <v>2750</v>
      </c>
      <c r="C620" s="533">
        <v>2000</v>
      </c>
      <c r="D620" s="553" t="str">
        <f t="shared" si="23"/>
        <v>KVX-M27502000</v>
      </c>
      <c r="E620" s="907">
        <f t="shared" si="22"/>
        <v>1930.7606055249998</v>
      </c>
      <c r="F620" s="534">
        <v>19</v>
      </c>
      <c r="G620" s="535">
        <f>F620*CCBASE!$B$51</f>
        <v>684</v>
      </c>
      <c r="H620" s="535">
        <f>CCBASE!$I$12*B620/1000</f>
        <v>329.03897757500005</v>
      </c>
      <c r="I620" s="535"/>
      <c r="J620" s="535"/>
      <c r="K620" s="535"/>
      <c r="L620" s="540"/>
      <c r="M620" s="535">
        <f>CCBASE!$I$15*B620/1000</f>
        <v>219.57618375000001</v>
      </c>
      <c r="N620" s="535">
        <f>CCBASE!$I$7*B620/1000</f>
        <v>86.74127</v>
      </c>
      <c r="O620" s="535">
        <f>CCBASE!$I$45*B620/1000</f>
        <v>27.4175</v>
      </c>
      <c r="P620" s="535"/>
      <c r="Q620" s="535">
        <f>CCBASE!$I$51</f>
        <v>2.9</v>
      </c>
      <c r="R620" s="535">
        <f>CCBASE!$I$4</f>
        <v>8.3986041999999994</v>
      </c>
      <c r="S620" s="535">
        <f>CCBASE!$I$8</f>
        <v>16.25526</v>
      </c>
      <c r="T620" s="534"/>
      <c r="U620" s="540">
        <f>CCBASE!$I$47*2</f>
        <v>28.82</v>
      </c>
      <c r="V620" s="534"/>
      <c r="W620" s="535">
        <f>CCBASE!$I$43*B620/1000</f>
        <v>243.71633</v>
      </c>
      <c r="X620" s="535"/>
      <c r="Y620" s="535"/>
      <c r="Z620" s="535"/>
      <c r="AA620" s="535"/>
      <c r="AB620" s="535"/>
      <c r="AC620" s="535"/>
      <c r="AD620" s="554">
        <f>CCBASE!$I$35*2</f>
        <v>283.89648</v>
      </c>
      <c r="AI620" s="537"/>
      <c r="AJ620" s="537"/>
      <c r="AR620" s="538"/>
      <c r="AS620" s="538"/>
    </row>
    <row r="621" spans="1:45" ht="17" customHeight="1" thickBot="1" x14ac:dyDescent="0.25">
      <c r="A621" s="546" t="s">
        <v>1034</v>
      </c>
      <c r="B621" s="555">
        <v>3000</v>
      </c>
      <c r="C621" s="555">
        <v>2000</v>
      </c>
      <c r="D621" s="556" t="str">
        <f t="shared" si="23"/>
        <v>KVX-M30002000</v>
      </c>
      <c r="E621" s="907">
        <f t="shared" si="22"/>
        <v>2013.1688110999999</v>
      </c>
      <c r="F621" s="534">
        <v>19</v>
      </c>
      <c r="G621" s="557">
        <f>F621*CCBASE!$B$51</f>
        <v>684</v>
      </c>
      <c r="H621" s="557">
        <f>CCBASE!$I$12*B621/1000</f>
        <v>358.95161190000005</v>
      </c>
      <c r="I621" s="557"/>
      <c r="J621" s="557"/>
      <c r="K621" s="557"/>
      <c r="L621" s="558"/>
      <c r="M621" s="557">
        <f>CCBASE!$I$15*B621/1000</f>
        <v>239.53765500000003</v>
      </c>
      <c r="N621" s="557">
        <f>CCBASE!$I$7*B621/1000</f>
        <v>94.626840000000016</v>
      </c>
      <c r="O621" s="557">
        <f>CCBASE!$I$45*B621/1000</f>
        <v>29.910000000000004</v>
      </c>
      <c r="P621" s="557"/>
      <c r="Q621" s="557">
        <f>CCBASE!$I$51</f>
        <v>2.9</v>
      </c>
      <c r="R621" s="557">
        <f>CCBASE!$I$4</f>
        <v>8.3986041999999994</v>
      </c>
      <c r="S621" s="557">
        <f>CCBASE!$I$8</f>
        <v>16.25526</v>
      </c>
      <c r="T621" s="559"/>
      <c r="U621" s="558">
        <f>CCBASE!$I$47*2</f>
        <v>28.82</v>
      </c>
      <c r="V621" s="559"/>
      <c r="W621" s="557">
        <f>CCBASE!$I$43*B621/1000</f>
        <v>265.87235999999996</v>
      </c>
      <c r="X621" s="557"/>
      <c r="Y621" s="557"/>
      <c r="Z621" s="557"/>
      <c r="AA621" s="557"/>
      <c r="AB621" s="557"/>
      <c r="AC621" s="557"/>
      <c r="AD621" s="560">
        <f>CCBASE!$I$35*2</f>
        <v>283.89648</v>
      </c>
      <c r="AI621" s="537"/>
      <c r="AJ621" s="537"/>
      <c r="AK621" s="538"/>
      <c r="AL621" s="538"/>
      <c r="AM621" s="538"/>
      <c r="AN621" s="538"/>
      <c r="AO621" s="538"/>
      <c r="AP621" s="538"/>
      <c r="AQ621" s="538"/>
      <c r="AR621" s="538"/>
      <c r="AS621" s="538"/>
    </row>
    <row r="622" spans="1:45" ht="17" customHeight="1" thickBot="1" x14ac:dyDescent="0.25">
      <c r="A622" s="561" t="s">
        <v>1068</v>
      </c>
      <c r="B622" s="547">
        <v>1000</v>
      </c>
      <c r="C622" s="547">
        <v>1000</v>
      </c>
      <c r="D622" s="548" t="str">
        <f t="shared" si="23"/>
        <v>UVX-M10001000</v>
      </c>
      <c r="E622" s="907">
        <f t="shared" si="22"/>
        <v>1261.1119373999998</v>
      </c>
      <c r="F622" s="549">
        <v>21</v>
      </c>
      <c r="G622" s="550">
        <f>F622*CCBASE!$B$51</f>
        <v>756</v>
      </c>
      <c r="H622" s="550">
        <f>CCBASE!$I$11*B622/1000</f>
        <v>160.99296219999999</v>
      </c>
      <c r="I622" s="550"/>
      <c r="J622" s="550"/>
      <c r="K622" s="550"/>
      <c r="L622" s="549"/>
      <c r="M622" s="550">
        <f>CCBASE!$I$15*B622/1000</f>
        <v>79.84588500000001</v>
      </c>
      <c r="N622" s="550">
        <f>CCBASE!$I$7*B622/1000</f>
        <v>31.542280000000002</v>
      </c>
      <c r="O622" s="550">
        <f>CCBASE!$I$45*B622/1000</f>
        <v>9.9700000000000006</v>
      </c>
      <c r="P622" s="550">
        <f>CCBASE!$I$10</f>
        <v>30.661922000000001</v>
      </c>
      <c r="Q622" s="550">
        <f>CCBASE!$I$51</f>
        <v>2.9</v>
      </c>
      <c r="R622" s="550">
        <f>CCBASE!$I$4</f>
        <v>8.3986041999999994</v>
      </c>
      <c r="S622" s="550">
        <f>CCBASE!$I$8</f>
        <v>16.25526</v>
      </c>
      <c r="T622" s="549"/>
      <c r="U622" s="551">
        <f>CCBASE!$I$47</f>
        <v>14.41</v>
      </c>
      <c r="V622" s="550"/>
      <c r="W622" s="550">
        <f>CCBASE!$I$40*B622/1000</f>
        <v>41.308039999999998</v>
      </c>
      <c r="X622" s="550"/>
      <c r="Y622" s="550"/>
      <c r="Z622" s="550"/>
      <c r="AA622" s="550"/>
      <c r="AB622" s="550"/>
      <c r="AC622" s="550"/>
      <c r="AD622" s="552">
        <f>CCBASE!$I$32*2</f>
        <v>108.826984</v>
      </c>
      <c r="AI622" s="537"/>
      <c r="AJ622" s="537"/>
      <c r="AK622" s="538"/>
      <c r="AL622" s="538"/>
      <c r="AM622" s="538"/>
      <c r="AN622" s="538"/>
      <c r="AO622" s="538"/>
      <c r="AP622" s="538"/>
      <c r="AQ622" s="538"/>
      <c r="AR622" s="538"/>
      <c r="AS622" s="538"/>
    </row>
    <row r="623" spans="1:45" ht="17" customHeight="1" thickBot="1" x14ac:dyDescent="0.25">
      <c r="A623" s="561" t="s">
        <v>1068</v>
      </c>
      <c r="B623" s="533">
        <v>1250</v>
      </c>
      <c r="C623" s="533">
        <v>1000</v>
      </c>
      <c r="D623" s="553" t="str">
        <f t="shared" si="23"/>
        <v>UVX-M12501000</v>
      </c>
      <c r="E623" s="907">
        <f t="shared" si="22"/>
        <v>1342.0267292000003</v>
      </c>
      <c r="F623" s="534">
        <v>21</v>
      </c>
      <c r="G623" s="535">
        <f>F623*CCBASE!$B$51</f>
        <v>756</v>
      </c>
      <c r="H623" s="535">
        <f>CCBASE!$I$11*B623/1000</f>
        <v>201.24120274999999</v>
      </c>
      <c r="I623" s="535"/>
      <c r="J623" s="535"/>
      <c r="K623" s="535"/>
      <c r="L623" s="534"/>
      <c r="M623" s="535">
        <f>CCBASE!$I$15*B623/1000</f>
        <v>99.807356250000012</v>
      </c>
      <c r="N623" s="535">
        <f>CCBASE!$I$7*B623/1000</f>
        <v>39.427849999999999</v>
      </c>
      <c r="O623" s="535">
        <f>CCBASE!$I$45*B623/1000</f>
        <v>12.4625</v>
      </c>
      <c r="P623" s="535">
        <f>CCBASE!$I$10</f>
        <v>30.661922000000001</v>
      </c>
      <c r="Q623" s="535">
        <f>CCBASE!$I$51</f>
        <v>2.9</v>
      </c>
      <c r="R623" s="535">
        <f>CCBASE!$I$4</f>
        <v>8.3986041999999994</v>
      </c>
      <c r="S623" s="535">
        <f>CCBASE!$I$8</f>
        <v>16.25526</v>
      </c>
      <c r="T623" s="534"/>
      <c r="U623" s="540">
        <f>CCBASE!$I$47</f>
        <v>14.41</v>
      </c>
      <c r="V623" s="535"/>
      <c r="W623" s="535">
        <f>CCBASE!$I$40*B623/1000</f>
        <v>51.635049999999993</v>
      </c>
      <c r="X623" s="535"/>
      <c r="Y623" s="535"/>
      <c r="Z623" s="535"/>
      <c r="AA623" s="535"/>
      <c r="AB623" s="535"/>
      <c r="AC623" s="535"/>
      <c r="AD623" s="554">
        <f>CCBASE!$I$32*2</f>
        <v>108.826984</v>
      </c>
      <c r="AI623" s="537"/>
      <c r="AJ623" s="537"/>
      <c r="AK623" s="538"/>
      <c r="AL623" s="538"/>
      <c r="AM623" s="538"/>
      <c r="AN623" s="538"/>
      <c r="AO623" s="538"/>
      <c r="AP623" s="538"/>
      <c r="AQ623" s="538"/>
      <c r="AR623" s="538"/>
      <c r="AS623" s="538"/>
    </row>
    <row r="624" spans="1:45" ht="17" customHeight="1" thickBot="1" x14ac:dyDescent="0.25">
      <c r="A624" s="561" t="s">
        <v>1068</v>
      </c>
      <c r="B624" s="533">
        <v>1500</v>
      </c>
      <c r="C624" s="533">
        <v>1000</v>
      </c>
      <c r="D624" s="553" t="str">
        <f t="shared" si="23"/>
        <v>UVX-M15001000</v>
      </c>
      <c r="E624" s="907">
        <f t="shared" si="22"/>
        <v>1422.941521</v>
      </c>
      <c r="F624" s="534">
        <v>21</v>
      </c>
      <c r="G624" s="535">
        <f>F624*CCBASE!$B$51</f>
        <v>756</v>
      </c>
      <c r="H624" s="535">
        <f>CCBASE!$I$11*B624/1000</f>
        <v>241.48944329999998</v>
      </c>
      <c r="I624" s="535"/>
      <c r="J624" s="535"/>
      <c r="K624" s="535"/>
      <c r="L624" s="534"/>
      <c r="M624" s="535">
        <f>CCBASE!$I$15*B624/1000</f>
        <v>119.76882750000001</v>
      </c>
      <c r="N624" s="535">
        <f>CCBASE!$I$7*B624/1000</f>
        <v>47.313420000000008</v>
      </c>
      <c r="O624" s="535">
        <f>CCBASE!$I$45*B624/1000</f>
        <v>14.955000000000002</v>
      </c>
      <c r="P624" s="535">
        <f>CCBASE!$I$10</f>
        <v>30.661922000000001</v>
      </c>
      <c r="Q624" s="535">
        <f>CCBASE!$I$51</f>
        <v>2.9</v>
      </c>
      <c r="R624" s="535">
        <f>CCBASE!$I$4</f>
        <v>8.3986041999999994</v>
      </c>
      <c r="S624" s="535">
        <f>CCBASE!$I$8</f>
        <v>16.25526</v>
      </c>
      <c r="T624" s="534"/>
      <c r="U624" s="540">
        <f>CCBASE!$I$47</f>
        <v>14.41</v>
      </c>
      <c r="V624" s="535"/>
      <c r="W624" s="535">
        <f>CCBASE!$I$40*B624/1000</f>
        <v>61.962060000000001</v>
      </c>
      <c r="X624" s="535"/>
      <c r="Y624" s="535"/>
      <c r="Z624" s="535"/>
      <c r="AA624" s="535"/>
      <c r="AB624" s="535"/>
      <c r="AC624" s="535"/>
      <c r="AD624" s="554">
        <f>CCBASE!$I$32*2</f>
        <v>108.826984</v>
      </c>
      <c r="AI624" s="537"/>
      <c r="AJ624" s="537"/>
      <c r="AK624" s="538"/>
      <c r="AL624" s="538"/>
      <c r="AM624" s="538"/>
      <c r="AN624" s="538"/>
      <c r="AO624" s="538"/>
      <c r="AP624" s="538"/>
      <c r="AQ624" s="538"/>
      <c r="AR624" s="538"/>
      <c r="AS624" s="538"/>
    </row>
    <row r="625" spans="1:45" ht="17" customHeight="1" thickBot="1" x14ac:dyDescent="0.25">
      <c r="A625" s="561" t="s">
        <v>1068</v>
      </c>
      <c r="B625" s="533">
        <v>1750</v>
      </c>
      <c r="C625" s="533">
        <v>1000</v>
      </c>
      <c r="D625" s="553" t="str">
        <f t="shared" si="23"/>
        <v>UVX-M17501000</v>
      </c>
      <c r="E625" s="907">
        <f t="shared" si="22"/>
        <v>1503.8563128000001</v>
      </c>
      <c r="F625" s="534">
        <v>21</v>
      </c>
      <c r="G625" s="535">
        <f>F625*CCBASE!$B$51</f>
        <v>756</v>
      </c>
      <c r="H625" s="535">
        <f>CCBASE!$I$11*B625/1000</f>
        <v>281.73768385</v>
      </c>
      <c r="I625" s="535"/>
      <c r="J625" s="535"/>
      <c r="K625" s="535"/>
      <c r="L625" s="534"/>
      <c r="M625" s="535">
        <f>CCBASE!$I$15*B625/1000</f>
        <v>139.73029875</v>
      </c>
      <c r="N625" s="535">
        <f>CCBASE!$I$7*B625/1000</f>
        <v>55.198990000000002</v>
      </c>
      <c r="O625" s="535">
        <f>CCBASE!$I$45*B625/1000</f>
        <v>17.447500000000002</v>
      </c>
      <c r="P625" s="535">
        <f>CCBASE!$I$10</f>
        <v>30.661922000000001</v>
      </c>
      <c r="Q625" s="535">
        <f>CCBASE!$I$51</f>
        <v>2.9</v>
      </c>
      <c r="R625" s="535">
        <f>CCBASE!$I$4</f>
        <v>8.3986041999999994</v>
      </c>
      <c r="S625" s="535">
        <f>CCBASE!$I$8</f>
        <v>16.25526</v>
      </c>
      <c r="T625" s="534"/>
      <c r="U625" s="540">
        <f>CCBASE!$I$47</f>
        <v>14.41</v>
      </c>
      <c r="V625" s="535"/>
      <c r="W625" s="535">
        <f>CCBASE!$I$40*B625/1000</f>
        <v>72.289069999999995</v>
      </c>
      <c r="X625" s="535"/>
      <c r="Y625" s="535"/>
      <c r="Z625" s="535"/>
      <c r="AA625" s="535"/>
      <c r="AB625" s="535"/>
      <c r="AC625" s="535"/>
      <c r="AD625" s="554">
        <f>CCBASE!$I$32*2</f>
        <v>108.826984</v>
      </c>
      <c r="AI625" s="537"/>
      <c r="AJ625" s="537"/>
      <c r="AK625" s="538"/>
      <c r="AL625" s="538"/>
      <c r="AM625" s="538"/>
      <c r="AN625" s="538"/>
      <c r="AO625" s="538"/>
      <c r="AP625" s="538"/>
      <c r="AQ625" s="538"/>
      <c r="AR625" s="538"/>
      <c r="AS625" s="538"/>
    </row>
    <row r="626" spans="1:45" ht="17" customHeight="1" thickBot="1" x14ac:dyDescent="0.25">
      <c r="A626" s="561" t="s">
        <v>1068</v>
      </c>
      <c r="B626" s="533">
        <v>2000</v>
      </c>
      <c r="C626" s="533">
        <v>1000</v>
      </c>
      <c r="D626" s="553" t="str">
        <f t="shared" si="23"/>
        <v>UVX-M20001000</v>
      </c>
      <c r="E626" s="907">
        <f t="shared" si="22"/>
        <v>1593.8203048999999</v>
      </c>
      <c r="F626" s="534">
        <v>21</v>
      </c>
      <c r="G626" s="535">
        <f>F626*CCBASE!$B$51</f>
        <v>756</v>
      </c>
      <c r="H626" s="535">
        <f>CCBASE!$I$11*B626/1000</f>
        <v>321.98592439999999</v>
      </c>
      <c r="I626" s="535"/>
      <c r="J626" s="535"/>
      <c r="K626" s="535"/>
      <c r="L626" s="534"/>
      <c r="M626" s="535">
        <f>CCBASE!$I$15*B626/1000</f>
        <v>159.69177000000002</v>
      </c>
      <c r="N626" s="535">
        <f>CCBASE!$I$7*B626/1000</f>
        <v>63.084560000000003</v>
      </c>
      <c r="O626" s="535">
        <f>CCBASE!$I$45*B626/1000</f>
        <v>19.940000000000001</v>
      </c>
      <c r="P626" s="535">
        <f>CCBASE!$I$9</f>
        <v>39.7111223</v>
      </c>
      <c r="Q626" s="535">
        <f>CCBASE!$I$51</f>
        <v>2.9</v>
      </c>
      <c r="R626" s="535">
        <f>CCBASE!$I$4</f>
        <v>8.3986041999999994</v>
      </c>
      <c r="S626" s="535">
        <f>CCBASE!$I$8</f>
        <v>16.25526</v>
      </c>
      <c r="T626" s="534"/>
      <c r="U626" s="540">
        <f>CCBASE!$I$47</f>
        <v>14.41</v>
      </c>
      <c r="V626" s="535"/>
      <c r="W626" s="535">
        <f>CCBASE!$I$40*B626/1000</f>
        <v>82.616079999999997</v>
      </c>
      <c r="X626" s="535"/>
      <c r="Y626" s="535"/>
      <c r="Z626" s="535"/>
      <c r="AA626" s="535"/>
      <c r="AB626" s="535"/>
      <c r="AC626" s="535"/>
      <c r="AD626" s="554">
        <f>CCBASE!$I$32*2</f>
        <v>108.826984</v>
      </c>
      <c r="AI626" s="537"/>
      <c r="AJ626" s="537"/>
      <c r="AN626" s="538"/>
      <c r="AO626" s="538"/>
      <c r="AP626" s="538"/>
      <c r="AQ626" s="538"/>
      <c r="AR626" s="538"/>
      <c r="AS626" s="538"/>
    </row>
    <row r="627" spans="1:45" ht="17" customHeight="1" thickBot="1" x14ac:dyDescent="0.25">
      <c r="A627" s="561" t="s">
        <v>1068</v>
      </c>
      <c r="B627" s="533">
        <v>2250</v>
      </c>
      <c r="C627" s="533">
        <v>1000</v>
      </c>
      <c r="D627" s="553" t="str">
        <f t="shared" si="23"/>
        <v>UVX-M22501000</v>
      </c>
      <c r="E627" s="907">
        <f t="shared" si="22"/>
        <v>1725.1450966999996</v>
      </c>
      <c r="F627" s="534">
        <v>22</v>
      </c>
      <c r="G627" s="535">
        <f>F627*CCBASE!$B$51</f>
        <v>792</v>
      </c>
      <c r="H627" s="535">
        <f>CCBASE!$I$11*B627/1000</f>
        <v>362.23416494999998</v>
      </c>
      <c r="I627" s="535"/>
      <c r="J627" s="535"/>
      <c r="K627" s="535"/>
      <c r="L627" s="534"/>
      <c r="M627" s="535">
        <f>CCBASE!$I$15*B627/1000</f>
        <v>179.65324125000001</v>
      </c>
      <c r="N627" s="535">
        <f>CCBASE!$I$7*B627/1000</f>
        <v>70.970130000000012</v>
      </c>
      <c r="O627" s="535">
        <f>CCBASE!$I$45*B627/1000</f>
        <v>22.432500000000001</v>
      </c>
      <c r="P627" s="535">
        <f>CCBASE!$I$9</f>
        <v>39.7111223</v>
      </c>
      <c r="Q627" s="535">
        <f>CCBASE!$I$51</f>
        <v>2.9</v>
      </c>
      <c r="R627" s="535">
        <f>CCBASE!$I$4</f>
        <v>8.3986041999999994</v>
      </c>
      <c r="S627" s="535">
        <f>CCBASE!$I$8</f>
        <v>16.25526</v>
      </c>
      <c r="T627" s="534"/>
      <c r="U627" s="540">
        <f>CCBASE!$I$47*2</f>
        <v>28.82</v>
      </c>
      <c r="V627" s="535"/>
      <c r="W627" s="535">
        <f>CCBASE!$I$40*B627/1000</f>
        <v>92.943089999999998</v>
      </c>
      <c r="X627" s="535"/>
      <c r="Y627" s="535"/>
      <c r="Z627" s="535"/>
      <c r="AA627" s="535"/>
      <c r="AB627" s="535"/>
      <c r="AC627" s="535"/>
      <c r="AD627" s="554">
        <f>CCBASE!$I$32*2</f>
        <v>108.826984</v>
      </c>
      <c r="AI627" s="537"/>
      <c r="AJ627" s="537"/>
      <c r="AN627" s="538"/>
      <c r="AO627" s="538"/>
      <c r="AP627" s="538"/>
      <c r="AQ627" s="538"/>
      <c r="AR627" s="538"/>
      <c r="AS627" s="538"/>
    </row>
    <row r="628" spans="1:45" ht="17" customHeight="1" thickBot="1" x14ac:dyDescent="0.25">
      <c r="A628" s="561" t="s">
        <v>1068</v>
      </c>
      <c r="B628" s="533">
        <v>2500</v>
      </c>
      <c r="C628" s="533">
        <v>1000</v>
      </c>
      <c r="D628" s="553" t="str">
        <f t="shared" si="23"/>
        <v>UVX-M25001000</v>
      </c>
      <c r="E628" s="907">
        <f t="shared" si="22"/>
        <v>1806.0598884999997</v>
      </c>
      <c r="F628" s="534">
        <v>22</v>
      </c>
      <c r="G628" s="535">
        <f>F628*CCBASE!$B$51</f>
        <v>792</v>
      </c>
      <c r="H628" s="535">
        <f>CCBASE!$I$11*B628/1000</f>
        <v>402.48240549999997</v>
      </c>
      <c r="I628" s="535"/>
      <c r="J628" s="535"/>
      <c r="K628" s="535"/>
      <c r="L628" s="534"/>
      <c r="M628" s="535">
        <f>CCBASE!$I$15*B628/1000</f>
        <v>199.61471250000002</v>
      </c>
      <c r="N628" s="535">
        <f>CCBASE!$I$7*B628/1000</f>
        <v>78.855699999999999</v>
      </c>
      <c r="O628" s="535">
        <f>CCBASE!$I$45*B628/1000</f>
        <v>24.925000000000001</v>
      </c>
      <c r="P628" s="535">
        <f>CCBASE!$I$9</f>
        <v>39.7111223</v>
      </c>
      <c r="Q628" s="535">
        <f>CCBASE!$I$51</f>
        <v>2.9</v>
      </c>
      <c r="R628" s="535">
        <f>CCBASE!$I$4</f>
        <v>8.3986041999999994</v>
      </c>
      <c r="S628" s="535">
        <f>CCBASE!$I$8</f>
        <v>16.25526</v>
      </c>
      <c r="T628" s="534"/>
      <c r="U628" s="540">
        <f>CCBASE!$I$47*2</f>
        <v>28.82</v>
      </c>
      <c r="V628" s="535"/>
      <c r="W628" s="535">
        <f>CCBASE!$I$40*B628/1000</f>
        <v>103.27009999999999</v>
      </c>
      <c r="X628" s="535"/>
      <c r="Y628" s="535"/>
      <c r="Z628" s="535"/>
      <c r="AA628" s="535"/>
      <c r="AB628" s="535"/>
      <c r="AC628" s="535"/>
      <c r="AD628" s="554">
        <f>CCBASE!$I$32*2</f>
        <v>108.826984</v>
      </c>
      <c r="AI628" s="537"/>
      <c r="AJ628" s="537"/>
      <c r="AN628" s="538"/>
      <c r="AO628" s="538"/>
      <c r="AP628" s="538"/>
      <c r="AQ628" s="538"/>
      <c r="AR628" s="538"/>
      <c r="AS628" s="538"/>
    </row>
    <row r="629" spans="1:45" ht="17" customHeight="1" thickBot="1" x14ac:dyDescent="0.25">
      <c r="A629" s="561" t="s">
        <v>1068</v>
      </c>
      <c r="B629" s="533">
        <v>2750</v>
      </c>
      <c r="C629" s="533">
        <v>1000</v>
      </c>
      <c r="D629" s="553" t="str">
        <f t="shared" si="23"/>
        <v>UVX-M27501000</v>
      </c>
      <c r="E629" s="907">
        <f t="shared" si="22"/>
        <v>1922.9746802999996</v>
      </c>
      <c r="F629" s="534">
        <v>23</v>
      </c>
      <c r="G629" s="535">
        <f>F629*CCBASE!$B$51</f>
        <v>828</v>
      </c>
      <c r="H629" s="535">
        <f>CCBASE!$I$11*B629/1000</f>
        <v>442.73064604999996</v>
      </c>
      <c r="I629" s="535"/>
      <c r="J629" s="535"/>
      <c r="K629" s="535"/>
      <c r="L629" s="534"/>
      <c r="M629" s="535">
        <f>CCBASE!$I$15*B629/1000</f>
        <v>219.57618375000001</v>
      </c>
      <c r="N629" s="535">
        <f>CCBASE!$I$7*B629/1000</f>
        <v>86.74127</v>
      </c>
      <c r="O629" s="535">
        <f>CCBASE!$I$45*B629/1000</f>
        <v>27.4175</v>
      </c>
      <c r="P629" s="535">
        <f>CCBASE!$I$9</f>
        <v>39.7111223</v>
      </c>
      <c r="Q629" s="535">
        <f>CCBASE!$I$51</f>
        <v>2.9</v>
      </c>
      <c r="R629" s="535">
        <f>CCBASE!$I$4</f>
        <v>8.3986041999999994</v>
      </c>
      <c r="S629" s="535">
        <f>CCBASE!$I$8</f>
        <v>16.25526</v>
      </c>
      <c r="T629" s="534"/>
      <c r="U629" s="540">
        <f>CCBASE!$I$47*2</f>
        <v>28.82</v>
      </c>
      <c r="V629" s="535"/>
      <c r="W629" s="535">
        <f>CCBASE!$I$40*B629/1000</f>
        <v>113.59711</v>
      </c>
      <c r="X629" s="535"/>
      <c r="Y629" s="535"/>
      <c r="Z629" s="535"/>
      <c r="AA629" s="535"/>
      <c r="AB629" s="535"/>
      <c r="AC629" s="535"/>
      <c r="AD629" s="554">
        <f>CCBASE!$I$32*2</f>
        <v>108.826984</v>
      </c>
      <c r="AI629" s="537"/>
      <c r="AJ629" s="537"/>
      <c r="AN629" s="538"/>
      <c r="AO629" s="538"/>
      <c r="AP629" s="538"/>
      <c r="AQ629" s="538"/>
      <c r="AR629" s="538"/>
      <c r="AS629" s="538"/>
    </row>
    <row r="630" spans="1:45" ht="17" customHeight="1" thickBot="1" x14ac:dyDescent="0.25">
      <c r="A630" s="561" t="s">
        <v>1068</v>
      </c>
      <c r="B630" s="533">
        <v>3000</v>
      </c>
      <c r="C630" s="533">
        <v>1000</v>
      </c>
      <c r="D630" s="553" t="str">
        <f t="shared" si="23"/>
        <v>UVX-M30001000</v>
      </c>
      <c r="E630" s="907">
        <f t="shared" si="22"/>
        <v>2003.8894720999997</v>
      </c>
      <c r="F630" s="534">
        <v>23</v>
      </c>
      <c r="G630" s="535">
        <f>F630*CCBASE!$B$51</f>
        <v>828</v>
      </c>
      <c r="H630" s="535">
        <f>CCBASE!$I$11*B630/1000</f>
        <v>482.97888659999995</v>
      </c>
      <c r="I630" s="535"/>
      <c r="J630" s="535"/>
      <c r="K630" s="535"/>
      <c r="L630" s="534"/>
      <c r="M630" s="535">
        <f>CCBASE!$I$15*B630/1000</f>
        <v>239.53765500000003</v>
      </c>
      <c r="N630" s="535">
        <f>CCBASE!$I$7*B630/1000</f>
        <v>94.626840000000016</v>
      </c>
      <c r="O630" s="535">
        <f>CCBASE!$I$45*B630/1000</f>
        <v>29.910000000000004</v>
      </c>
      <c r="P630" s="535">
        <f>CCBASE!$I$9</f>
        <v>39.7111223</v>
      </c>
      <c r="Q630" s="535">
        <f>CCBASE!$I$51</f>
        <v>2.9</v>
      </c>
      <c r="R630" s="535">
        <f>CCBASE!$I$4</f>
        <v>8.3986041999999994</v>
      </c>
      <c r="S630" s="535">
        <f>CCBASE!$I$8</f>
        <v>16.25526</v>
      </c>
      <c r="T630" s="534"/>
      <c r="U630" s="540">
        <f>CCBASE!$I$47*2</f>
        <v>28.82</v>
      </c>
      <c r="V630" s="535"/>
      <c r="W630" s="535">
        <f>CCBASE!$I$40*B630/1000</f>
        <v>123.92412</v>
      </c>
      <c r="X630" s="535"/>
      <c r="Y630" s="535"/>
      <c r="Z630" s="535"/>
      <c r="AA630" s="535"/>
      <c r="AB630" s="535"/>
      <c r="AC630" s="535"/>
      <c r="AD630" s="554">
        <f>CCBASE!$I$32*2</f>
        <v>108.826984</v>
      </c>
      <c r="AI630" s="537"/>
      <c r="AJ630" s="537"/>
      <c r="AN630" s="538"/>
      <c r="AO630" s="538"/>
      <c r="AP630" s="538"/>
      <c r="AQ630" s="538"/>
      <c r="AR630" s="538"/>
      <c r="AS630" s="538"/>
    </row>
    <row r="631" spans="1:45" ht="17" customHeight="1" thickBot="1" x14ac:dyDescent="0.25">
      <c r="A631" s="561" t="s">
        <v>1068</v>
      </c>
      <c r="B631" s="533">
        <v>1000</v>
      </c>
      <c r="C631" s="533">
        <v>1250</v>
      </c>
      <c r="D631" s="553" t="str">
        <f t="shared" si="23"/>
        <v>UVX-M10001250</v>
      </c>
      <c r="E631" s="907">
        <f t="shared" si="22"/>
        <v>1261.1119373999998</v>
      </c>
      <c r="F631" s="549">
        <v>21</v>
      </c>
      <c r="G631" s="535">
        <f>F631*CCBASE!$B$51</f>
        <v>756</v>
      </c>
      <c r="H631" s="535">
        <f>CCBASE!$I$11*B631/1000</f>
        <v>160.99296219999999</v>
      </c>
      <c r="I631" s="535"/>
      <c r="J631" s="535"/>
      <c r="K631" s="535"/>
      <c r="L631" s="534"/>
      <c r="M631" s="535">
        <f>CCBASE!$I$15*B631/1000</f>
        <v>79.84588500000001</v>
      </c>
      <c r="N631" s="535">
        <f>CCBASE!$I$7*B631/1000</f>
        <v>31.542280000000002</v>
      </c>
      <c r="O631" s="535">
        <f>CCBASE!$I$45*B631/1000</f>
        <v>9.9700000000000006</v>
      </c>
      <c r="P631" s="535">
        <f>CCBASE!$I$10</f>
        <v>30.661922000000001</v>
      </c>
      <c r="Q631" s="535">
        <f>CCBASE!$I$51</f>
        <v>2.9</v>
      </c>
      <c r="R631" s="535">
        <f>CCBASE!$I$4</f>
        <v>8.3986041999999994</v>
      </c>
      <c r="S631" s="535">
        <f>CCBASE!$I$8</f>
        <v>16.25526</v>
      </c>
      <c r="T631" s="534"/>
      <c r="U631" s="540">
        <f>CCBASE!$I$47</f>
        <v>14.41</v>
      </c>
      <c r="V631" s="535"/>
      <c r="W631" s="535">
        <f>CCBASE!$I$40*B631/1000</f>
        <v>41.308039999999998</v>
      </c>
      <c r="X631" s="535"/>
      <c r="Y631" s="535"/>
      <c r="Z631" s="535"/>
      <c r="AA631" s="535"/>
      <c r="AB631" s="535"/>
      <c r="AC631" s="535"/>
      <c r="AD631" s="554">
        <f>CCBASE!$I$32*2</f>
        <v>108.826984</v>
      </c>
      <c r="AI631" s="537"/>
      <c r="AJ631" s="537"/>
      <c r="AK631" s="538"/>
      <c r="AL631" s="538"/>
      <c r="AM631" s="538"/>
      <c r="AN631" s="538"/>
      <c r="AO631" s="538"/>
      <c r="AP631" s="538"/>
      <c r="AQ631" s="538"/>
      <c r="AR631" s="538"/>
      <c r="AS631" s="538"/>
    </row>
    <row r="632" spans="1:45" ht="17" customHeight="1" thickBot="1" x14ac:dyDescent="0.25">
      <c r="A632" s="561" t="s">
        <v>1068</v>
      </c>
      <c r="B632" s="533">
        <v>1250</v>
      </c>
      <c r="C632" s="533">
        <v>1250</v>
      </c>
      <c r="D632" s="553" t="str">
        <f t="shared" si="23"/>
        <v>UVX-M12501250</v>
      </c>
      <c r="E632" s="907">
        <f t="shared" si="22"/>
        <v>1342.0267292000003</v>
      </c>
      <c r="F632" s="534">
        <v>21</v>
      </c>
      <c r="G632" s="535">
        <f>F632*CCBASE!$B$51</f>
        <v>756</v>
      </c>
      <c r="H632" s="535">
        <f>CCBASE!$I$11*B632/1000</f>
        <v>201.24120274999999</v>
      </c>
      <c r="I632" s="535"/>
      <c r="J632" s="535"/>
      <c r="K632" s="535"/>
      <c r="L632" s="534"/>
      <c r="M632" s="535">
        <f>CCBASE!$I$15*B632/1000</f>
        <v>99.807356250000012</v>
      </c>
      <c r="N632" s="535">
        <f>CCBASE!$I$7*B632/1000</f>
        <v>39.427849999999999</v>
      </c>
      <c r="O632" s="535">
        <f>CCBASE!$I$45*B632/1000</f>
        <v>12.4625</v>
      </c>
      <c r="P632" s="535">
        <f>CCBASE!$I$10</f>
        <v>30.661922000000001</v>
      </c>
      <c r="Q632" s="535">
        <f>CCBASE!$I$51</f>
        <v>2.9</v>
      </c>
      <c r="R632" s="535">
        <f>CCBASE!$I$4</f>
        <v>8.3986041999999994</v>
      </c>
      <c r="S632" s="535">
        <f>CCBASE!$I$8</f>
        <v>16.25526</v>
      </c>
      <c r="T632" s="534"/>
      <c r="U632" s="540">
        <f>CCBASE!$I$47</f>
        <v>14.41</v>
      </c>
      <c r="V632" s="535"/>
      <c r="W632" s="535">
        <f>CCBASE!$I$40*B632/1000</f>
        <v>51.635049999999993</v>
      </c>
      <c r="X632" s="535"/>
      <c r="Y632" s="535"/>
      <c r="Z632" s="535"/>
      <c r="AA632" s="535"/>
      <c r="AB632" s="535"/>
      <c r="AC632" s="535"/>
      <c r="AD632" s="554">
        <f>CCBASE!$I$32*2</f>
        <v>108.826984</v>
      </c>
      <c r="AI632" s="537"/>
      <c r="AJ632" s="537"/>
      <c r="AK632" s="538"/>
      <c r="AL632" s="538"/>
      <c r="AM632" s="538"/>
      <c r="AN632" s="538"/>
      <c r="AO632" s="538"/>
      <c r="AP632" s="538"/>
      <c r="AQ632" s="538"/>
      <c r="AR632" s="538"/>
      <c r="AS632" s="538"/>
    </row>
    <row r="633" spans="1:45" ht="17" customHeight="1" thickBot="1" x14ac:dyDescent="0.25">
      <c r="A633" s="561" t="s">
        <v>1068</v>
      </c>
      <c r="B633" s="533">
        <v>1500</v>
      </c>
      <c r="C633" s="533">
        <v>1250</v>
      </c>
      <c r="D633" s="553" t="str">
        <f t="shared" si="23"/>
        <v>UVX-M15001250</v>
      </c>
      <c r="E633" s="907">
        <f t="shared" si="22"/>
        <v>1422.941521</v>
      </c>
      <c r="F633" s="534">
        <v>21</v>
      </c>
      <c r="G633" s="535">
        <f>F633*CCBASE!$B$51</f>
        <v>756</v>
      </c>
      <c r="H633" s="535">
        <f>CCBASE!$I$11*B633/1000</f>
        <v>241.48944329999998</v>
      </c>
      <c r="I633" s="535"/>
      <c r="J633" s="535"/>
      <c r="K633" s="535"/>
      <c r="L633" s="534"/>
      <c r="M633" s="535">
        <f>CCBASE!$I$15*B633/1000</f>
        <v>119.76882750000001</v>
      </c>
      <c r="N633" s="535">
        <f>CCBASE!$I$7*B633/1000</f>
        <v>47.313420000000008</v>
      </c>
      <c r="O633" s="535">
        <f>CCBASE!$I$45*B633/1000</f>
        <v>14.955000000000002</v>
      </c>
      <c r="P633" s="535">
        <f>CCBASE!$I$10</f>
        <v>30.661922000000001</v>
      </c>
      <c r="Q633" s="535">
        <f>CCBASE!$I$51</f>
        <v>2.9</v>
      </c>
      <c r="R633" s="535">
        <f>CCBASE!$I$4</f>
        <v>8.3986041999999994</v>
      </c>
      <c r="S633" s="535">
        <f>CCBASE!$I$8</f>
        <v>16.25526</v>
      </c>
      <c r="T633" s="534"/>
      <c r="U633" s="540">
        <f>CCBASE!$I$47</f>
        <v>14.41</v>
      </c>
      <c r="V633" s="535"/>
      <c r="W633" s="535">
        <f>CCBASE!$I$40*B633/1000</f>
        <v>61.962060000000001</v>
      </c>
      <c r="X633" s="535"/>
      <c r="Y633" s="535"/>
      <c r="Z633" s="535"/>
      <c r="AA633" s="535"/>
      <c r="AB633" s="535"/>
      <c r="AC633" s="535"/>
      <c r="AD633" s="554">
        <f>CCBASE!$I$32*2</f>
        <v>108.826984</v>
      </c>
      <c r="AI633" s="537"/>
      <c r="AJ633" s="537"/>
      <c r="AK633" s="538"/>
      <c r="AL633" s="538"/>
      <c r="AM633" s="538"/>
      <c r="AN633" s="538"/>
      <c r="AO633" s="538"/>
      <c r="AP633" s="538"/>
      <c r="AQ633" s="538"/>
      <c r="AR633" s="538"/>
      <c r="AS633" s="538"/>
    </row>
    <row r="634" spans="1:45" ht="17" customHeight="1" thickBot="1" x14ac:dyDescent="0.25">
      <c r="A634" s="561" t="s">
        <v>1068</v>
      </c>
      <c r="B634" s="533">
        <v>1750</v>
      </c>
      <c r="C634" s="533">
        <v>1250</v>
      </c>
      <c r="D634" s="553" t="str">
        <f t="shared" si="23"/>
        <v>UVX-M17501250</v>
      </c>
      <c r="E634" s="907">
        <f t="shared" si="22"/>
        <v>1503.8563128000001</v>
      </c>
      <c r="F634" s="534">
        <v>21</v>
      </c>
      <c r="G634" s="535">
        <f>F634*CCBASE!$B$51</f>
        <v>756</v>
      </c>
      <c r="H634" s="535">
        <f>CCBASE!$I$11*B634/1000</f>
        <v>281.73768385</v>
      </c>
      <c r="I634" s="535"/>
      <c r="J634" s="535"/>
      <c r="K634" s="535"/>
      <c r="L634" s="534"/>
      <c r="M634" s="535">
        <f>CCBASE!$I$15*B634/1000</f>
        <v>139.73029875</v>
      </c>
      <c r="N634" s="535">
        <f>CCBASE!$I$7*B634/1000</f>
        <v>55.198990000000002</v>
      </c>
      <c r="O634" s="535">
        <f>CCBASE!$I$45*B634/1000</f>
        <v>17.447500000000002</v>
      </c>
      <c r="P634" s="535">
        <f>CCBASE!$I$10</f>
        <v>30.661922000000001</v>
      </c>
      <c r="Q634" s="535">
        <f>CCBASE!$I$51</f>
        <v>2.9</v>
      </c>
      <c r="R634" s="535">
        <f>CCBASE!$I$4</f>
        <v>8.3986041999999994</v>
      </c>
      <c r="S634" s="535">
        <f>CCBASE!$I$8</f>
        <v>16.25526</v>
      </c>
      <c r="T634" s="534"/>
      <c r="U634" s="540">
        <f>CCBASE!$I$47</f>
        <v>14.41</v>
      </c>
      <c r="V634" s="535"/>
      <c r="W634" s="535">
        <f>CCBASE!$I$40*B634/1000</f>
        <v>72.289069999999995</v>
      </c>
      <c r="X634" s="535"/>
      <c r="Y634" s="535"/>
      <c r="Z634" s="535"/>
      <c r="AA634" s="535"/>
      <c r="AB634" s="535"/>
      <c r="AC634" s="535"/>
      <c r="AD634" s="554">
        <f>CCBASE!$I$32*2</f>
        <v>108.826984</v>
      </c>
      <c r="AI634" s="537"/>
      <c r="AJ634" s="537"/>
      <c r="AK634" s="538"/>
      <c r="AL634" s="538"/>
      <c r="AM634" s="538"/>
      <c r="AN634" s="538"/>
      <c r="AO634" s="538"/>
      <c r="AP634" s="538"/>
      <c r="AQ634" s="538"/>
      <c r="AR634" s="538"/>
      <c r="AS634" s="538"/>
    </row>
    <row r="635" spans="1:45" ht="17" customHeight="1" thickBot="1" x14ac:dyDescent="0.25">
      <c r="A635" s="561" t="s">
        <v>1068</v>
      </c>
      <c r="B635" s="533">
        <v>2000</v>
      </c>
      <c r="C635" s="533">
        <v>1250</v>
      </c>
      <c r="D635" s="553" t="str">
        <f t="shared" si="23"/>
        <v>UVX-M20001250</v>
      </c>
      <c r="E635" s="907">
        <f t="shared" si="22"/>
        <v>1593.8203048999999</v>
      </c>
      <c r="F635" s="534">
        <v>21</v>
      </c>
      <c r="G635" s="535">
        <f>F635*CCBASE!$B$51</f>
        <v>756</v>
      </c>
      <c r="H635" s="535">
        <f>CCBASE!$I$11*B635/1000</f>
        <v>321.98592439999999</v>
      </c>
      <c r="I635" s="535"/>
      <c r="J635" s="535"/>
      <c r="K635" s="535"/>
      <c r="L635" s="534"/>
      <c r="M635" s="535">
        <f>CCBASE!$I$15*B635/1000</f>
        <v>159.69177000000002</v>
      </c>
      <c r="N635" s="535">
        <f>CCBASE!$I$7*B635/1000</f>
        <v>63.084560000000003</v>
      </c>
      <c r="O635" s="535">
        <f>CCBASE!$I$45*B635/1000</f>
        <v>19.940000000000001</v>
      </c>
      <c r="P635" s="535">
        <f>CCBASE!$I$9</f>
        <v>39.7111223</v>
      </c>
      <c r="Q635" s="535">
        <f>CCBASE!$I$51</f>
        <v>2.9</v>
      </c>
      <c r="R635" s="535">
        <f>CCBASE!$I$4</f>
        <v>8.3986041999999994</v>
      </c>
      <c r="S635" s="535">
        <f>CCBASE!$I$8</f>
        <v>16.25526</v>
      </c>
      <c r="T635" s="534"/>
      <c r="U635" s="540">
        <f>CCBASE!$I$47</f>
        <v>14.41</v>
      </c>
      <c r="V635" s="535"/>
      <c r="W635" s="535">
        <f>CCBASE!$I$40*B635/1000</f>
        <v>82.616079999999997</v>
      </c>
      <c r="X635" s="535"/>
      <c r="Y635" s="535"/>
      <c r="Z635" s="535"/>
      <c r="AA635" s="535"/>
      <c r="AB635" s="535"/>
      <c r="AC635" s="535"/>
      <c r="AD635" s="554">
        <f>CCBASE!$I$32*2</f>
        <v>108.826984</v>
      </c>
      <c r="AI635" s="537"/>
      <c r="AJ635" s="537"/>
      <c r="AN635" s="538"/>
      <c r="AO635" s="538"/>
      <c r="AP635" s="538"/>
      <c r="AQ635" s="538"/>
      <c r="AR635" s="538"/>
      <c r="AS635" s="538"/>
    </row>
    <row r="636" spans="1:45" ht="17" customHeight="1" thickBot="1" x14ac:dyDescent="0.25">
      <c r="A636" s="561" t="s">
        <v>1068</v>
      </c>
      <c r="B636" s="533">
        <v>2250</v>
      </c>
      <c r="C636" s="533">
        <v>1250</v>
      </c>
      <c r="D636" s="553" t="str">
        <f t="shared" si="23"/>
        <v>UVX-M22501250</v>
      </c>
      <c r="E636" s="907">
        <f t="shared" si="22"/>
        <v>1725.1450966999996</v>
      </c>
      <c r="F636" s="534">
        <v>22</v>
      </c>
      <c r="G636" s="535">
        <f>F636*CCBASE!$B$51</f>
        <v>792</v>
      </c>
      <c r="H636" s="535">
        <f>CCBASE!$I$11*B636/1000</f>
        <v>362.23416494999998</v>
      </c>
      <c r="I636" s="535"/>
      <c r="J636" s="535"/>
      <c r="K636" s="535"/>
      <c r="L636" s="534"/>
      <c r="M636" s="535">
        <f>CCBASE!$I$15*B636/1000</f>
        <v>179.65324125000001</v>
      </c>
      <c r="N636" s="535">
        <f>CCBASE!$I$7*B636/1000</f>
        <v>70.970130000000012</v>
      </c>
      <c r="O636" s="535">
        <f>CCBASE!$I$45*B636/1000</f>
        <v>22.432500000000001</v>
      </c>
      <c r="P636" s="535">
        <f>CCBASE!$I$9</f>
        <v>39.7111223</v>
      </c>
      <c r="Q636" s="535">
        <f>CCBASE!$I$51</f>
        <v>2.9</v>
      </c>
      <c r="R636" s="535">
        <f>CCBASE!$I$4</f>
        <v>8.3986041999999994</v>
      </c>
      <c r="S636" s="535">
        <f>CCBASE!$I$8</f>
        <v>16.25526</v>
      </c>
      <c r="T636" s="534"/>
      <c r="U636" s="540">
        <f>CCBASE!$I$47*2</f>
        <v>28.82</v>
      </c>
      <c r="V636" s="535"/>
      <c r="W636" s="535">
        <f>CCBASE!$I$40*B636/1000</f>
        <v>92.943089999999998</v>
      </c>
      <c r="X636" s="535"/>
      <c r="Y636" s="535"/>
      <c r="Z636" s="535"/>
      <c r="AA636" s="535"/>
      <c r="AB636" s="535"/>
      <c r="AC636" s="535"/>
      <c r="AD636" s="554">
        <f>CCBASE!$I$32*2</f>
        <v>108.826984</v>
      </c>
      <c r="AI636" s="537"/>
      <c r="AJ636" s="537"/>
      <c r="AN636" s="538"/>
      <c r="AO636" s="538"/>
      <c r="AP636" s="538"/>
      <c r="AQ636" s="538"/>
      <c r="AR636" s="538"/>
      <c r="AS636" s="538"/>
    </row>
    <row r="637" spans="1:45" ht="17" customHeight="1" thickBot="1" x14ac:dyDescent="0.25">
      <c r="A637" s="561" t="s">
        <v>1068</v>
      </c>
      <c r="B637" s="533">
        <v>2500</v>
      </c>
      <c r="C637" s="533">
        <v>1250</v>
      </c>
      <c r="D637" s="553" t="str">
        <f t="shared" si="23"/>
        <v>UVX-M25001250</v>
      </c>
      <c r="E637" s="907">
        <f t="shared" ref="E637:E670" si="24">SUM(G637:AD637)</f>
        <v>1806.0598884999997</v>
      </c>
      <c r="F637" s="534">
        <v>22</v>
      </c>
      <c r="G637" s="535">
        <f>F637*CCBASE!$B$51</f>
        <v>792</v>
      </c>
      <c r="H637" s="535">
        <f>CCBASE!$I$11*B637/1000</f>
        <v>402.48240549999997</v>
      </c>
      <c r="I637" s="535"/>
      <c r="J637" s="535"/>
      <c r="K637" s="535"/>
      <c r="L637" s="534"/>
      <c r="M637" s="535">
        <f>CCBASE!$I$15*B637/1000</f>
        <v>199.61471250000002</v>
      </c>
      <c r="N637" s="535">
        <f>CCBASE!$I$7*B637/1000</f>
        <v>78.855699999999999</v>
      </c>
      <c r="O637" s="535">
        <f>CCBASE!$I$45*B637/1000</f>
        <v>24.925000000000001</v>
      </c>
      <c r="P637" s="535">
        <f>CCBASE!$I$9</f>
        <v>39.7111223</v>
      </c>
      <c r="Q637" s="535">
        <f>CCBASE!$I$51</f>
        <v>2.9</v>
      </c>
      <c r="R637" s="535">
        <f>CCBASE!$I$4</f>
        <v>8.3986041999999994</v>
      </c>
      <c r="S637" s="535">
        <f>CCBASE!$I$8</f>
        <v>16.25526</v>
      </c>
      <c r="T637" s="534"/>
      <c r="U637" s="540">
        <f>CCBASE!$I$47*2</f>
        <v>28.82</v>
      </c>
      <c r="V637" s="535"/>
      <c r="W637" s="535">
        <f>CCBASE!$I$40*B637/1000</f>
        <v>103.27009999999999</v>
      </c>
      <c r="X637" s="535"/>
      <c r="Y637" s="535"/>
      <c r="Z637" s="535"/>
      <c r="AA637" s="535"/>
      <c r="AB637" s="535"/>
      <c r="AC637" s="535"/>
      <c r="AD637" s="554">
        <f>CCBASE!$I$32*2</f>
        <v>108.826984</v>
      </c>
      <c r="AI637" s="537"/>
      <c r="AJ637" s="537"/>
      <c r="AN637" s="538"/>
      <c r="AO637" s="538"/>
      <c r="AP637" s="538"/>
      <c r="AQ637" s="538"/>
      <c r="AR637" s="538"/>
      <c r="AS637" s="538"/>
    </row>
    <row r="638" spans="1:45" ht="17" customHeight="1" thickBot="1" x14ac:dyDescent="0.25">
      <c r="A638" s="561" t="s">
        <v>1068</v>
      </c>
      <c r="B638" s="533">
        <v>2750</v>
      </c>
      <c r="C638" s="533">
        <v>1250</v>
      </c>
      <c r="D638" s="553" t="str">
        <f t="shared" si="23"/>
        <v>UVX-M27501250</v>
      </c>
      <c r="E638" s="907">
        <f t="shared" si="24"/>
        <v>1922.9746802999996</v>
      </c>
      <c r="F638" s="534">
        <v>23</v>
      </c>
      <c r="G638" s="535">
        <f>F638*CCBASE!$B$51</f>
        <v>828</v>
      </c>
      <c r="H638" s="535">
        <f>CCBASE!$I$11*B638/1000</f>
        <v>442.73064604999996</v>
      </c>
      <c r="I638" s="535"/>
      <c r="J638" s="535"/>
      <c r="K638" s="535"/>
      <c r="L638" s="534"/>
      <c r="M638" s="535">
        <f>CCBASE!$I$15*B638/1000</f>
        <v>219.57618375000001</v>
      </c>
      <c r="N638" s="535">
        <f>CCBASE!$I$7*B638/1000</f>
        <v>86.74127</v>
      </c>
      <c r="O638" s="535">
        <f>CCBASE!$I$45*B638/1000</f>
        <v>27.4175</v>
      </c>
      <c r="P638" s="535">
        <f>CCBASE!$I$9</f>
        <v>39.7111223</v>
      </c>
      <c r="Q638" s="535">
        <f>CCBASE!$I$51</f>
        <v>2.9</v>
      </c>
      <c r="R638" s="535">
        <f>CCBASE!$I$4</f>
        <v>8.3986041999999994</v>
      </c>
      <c r="S638" s="535">
        <f>CCBASE!$I$8</f>
        <v>16.25526</v>
      </c>
      <c r="T638" s="534"/>
      <c r="U638" s="540">
        <f>CCBASE!$I$47*2</f>
        <v>28.82</v>
      </c>
      <c r="V638" s="535"/>
      <c r="W638" s="535">
        <f>CCBASE!$I$40*B638/1000</f>
        <v>113.59711</v>
      </c>
      <c r="X638" s="535"/>
      <c r="Y638" s="535"/>
      <c r="Z638" s="535"/>
      <c r="AA638" s="535"/>
      <c r="AB638" s="535"/>
      <c r="AC638" s="535"/>
      <c r="AD638" s="554">
        <f>CCBASE!$I$32*2</f>
        <v>108.826984</v>
      </c>
      <c r="AI638" s="537"/>
      <c r="AJ638" s="537"/>
      <c r="AN638" s="538"/>
      <c r="AO638" s="538"/>
      <c r="AP638" s="538"/>
      <c r="AQ638" s="538"/>
      <c r="AR638" s="538"/>
      <c r="AS638" s="538"/>
    </row>
    <row r="639" spans="1:45" ht="17" customHeight="1" thickBot="1" x14ac:dyDescent="0.25">
      <c r="A639" s="561" t="s">
        <v>1068</v>
      </c>
      <c r="B639" s="533">
        <v>3000</v>
      </c>
      <c r="C639" s="533">
        <v>1250</v>
      </c>
      <c r="D639" s="553" t="str">
        <f t="shared" si="23"/>
        <v>UVX-M30001250</v>
      </c>
      <c r="E639" s="907">
        <f t="shared" si="24"/>
        <v>2003.8894720999997</v>
      </c>
      <c r="F639" s="534">
        <v>23</v>
      </c>
      <c r="G639" s="535">
        <f>F639*CCBASE!$B$51</f>
        <v>828</v>
      </c>
      <c r="H639" s="535">
        <f>CCBASE!$I$11*B639/1000</f>
        <v>482.97888659999995</v>
      </c>
      <c r="I639" s="535"/>
      <c r="J639" s="535"/>
      <c r="K639" s="535"/>
      <c r="L639" s="534"/>
      <c r="M639" s="535">
        <f>CCBASE!$I$15*B639/1000</f>
        <v>239.53765500000003</v>
      </c>
      <c r="N639" s="535">
        <f>CCBASE!$I$7*B639/1000</f>
        <v>94.626840000000016</v>
      </c>
      <c r="O639" s="535">
        <f>CCBASE!$I$45*B639/1000</f>
        <v>29.910000000000004</v>
      </c>
      <c r="P639" s="535">
        <f>CCBASE!$I$9</f>
        <v>39.7111223</v>
      </c>
      <c r="Q639" s="535">
        <f>CCBASE!$I$51</f>
        <v>2.9</v>
      </c>
      <c r="R639" s="535">
        <f>CCBASE!$I$4</f>
        <v>8.3986041999999994</v>
      </c>
      <c r="S639" s="535">
        <f>CCBASE!$I$8</f>
        <v>16.25526</v>
      </c>
      <c r="T639" s="534"/>
      <c r="U639" s="540">
        <f>CCBASE!$I$47*2</f>
        <v>28.82</v>
      </c>
      <c r="V639" s="535"/>
      <c r="W639" s="535">
        <f>CCBASE!$I$40*B639/1000</f>
        <v>123.92412</v>
      </c>
      <c r="X639" s="535"/>
      <c r="Y639" s="535"/>
      <c r="Z639" s="535"/>
      <c r="AA639" s="535"/>
      <c r="AB639" s="535"/>
      <c r="AC639" s="535"/>
      <c r="AD639" s="554">
        <f>CCBASE!$I$32*2</f>
        <v>108.826984</v>
      </c>
      <c r="AI639" s="537"/>
      <c r="AJ639" s="537"/>
      <c r="AN639" s="538"/>
      <c r="AO639" s="538"/>
      <c r="AP639" s="538"/>
      <c r="AQ639" s="538"/>
      <c r="AR639" s="538"/>
      <c r="AS639" s="538"/>
    </row>
    <row r="640" spans="1:45" ht="17" customHeight="1" thickBot="1" x14ac:dyDescent="0.25">
      <c r="A640" s="561" t="s">
        <v>1068</v>
      </c>
      <c r="B640" s="533">
        <v>1000</v>
      </c>
      <c r="C640" s="533">
        <v>1500</v>
      </c>
      <c r="D640" s="553" t="str">
        <f t="shared" si="23"/>
        <v>UVX-M10001500</v>
      </c>
      <c r="E640" s="907">
        <f t="shared" si="24"/>
        <v>1306.0622134</v>
      </c>
      <c r="F640" s="549">
        <v>21</v>
      </c>
      <c r="G640" s="535">
        <f>F640*CCBASE!$B$51</f>
        <v>756</v>
      </c>
      <c r="H640" s="535">
        <f>CCBASE!$I$11*B640/1000</f>
        <v>160.99296219999999</v>
      </c>
      <c r="I640" s="535"/>
      <c r="J640" s="535"/>
      <c r="K640" s="535"/>
      <c r="L640" s="534"/>
      <c r="M640" s="535">
        <f>CCBASE!$I$15*B640/1000</f>
        <v>79.84588500000001</v>
      </c>
      <c r="N640" s="535">
        <f>CCBASE!$I$7*B640/1000</f>
        <v>31.542280000000002</v>
      </c>
      <c r="O640" s="535">
        <f>CCBASE!$I$45*B640/1000</f>
        <v>9.9700000000000006</v>
      </c>
      <c r="P640" s="535">
        <f>CCBASE!$I$10</f>
        <v>30.661922000000001</v>
      </c>
      <c r="Q640" s="535">
        <f>CCBASE!$I$51</f>
        <v>2.9</v>
      </c>
      <c r="R640" s="535">
        <f>CCBASE!$I$4</f>
        <v>8.3986041999999994</v>
      </c>
      <c r="S640" s="535">
        <f>CCBASE!$I$8</f>
        <v>16.25526</v>
      </c>
      <c r="T640" s="534"/>
      <c r="U640" s="540">
        <f>CCBASE!$I$47</f>
        <v>14.41</v>
      </c>
      <c r="V640" s="535"/>
      <c r="W640" s="535">
        <f>CCBASE!$I$41*B640/1000</f>
        <v>59.051569999999998</v>
      </c>
      <c r="X640" s="535"/>
      <c r="Y640" s="535"/>
      <c r="Z640" s="535"/>
      <c r="AA640" s="535"/>
      <c r="AB640" s="535"/>
      <c r="AC640" s="535"/>
      <c r="AD640" s="554">
        <f>CCBASE!$I$33*2</f>
        <v>136.03372999999999</v>
      </c>
      <c r="AI640" s="537"/>
      <c r="AJ640" s="537"/>
      <c r="AN640" s="538"/>
      <c r="AO640" s="538"/>
      <c r="AP640" s="538"/>
      <c r="AQ640" s="538"/>
      <c r="AR640" s="538"/>
      <c r="AS640" s="538"/>
    </row>
    <row r="641" spans="1:45" ht="17" customHeight="1" thickBot="1" x14ac:dyDescent="0.25">
      <c r="A641" s="561" t="s">
        <v>1068</v>
      </c>
      <c r="B641" s="533">
        <v>1250</v>
      </c>
      <c r="C641" s="533">
        <v>1500</v>
      </c>
      <c r="D641" s="553" t="str">
        <f t="shared" si="23"/>
        <v>UVX-M12501500</v>
      </c>
      <c r="E641" s="907">
        <f t="shared" si="24"/>
        <v>1391.4128877000003</v>
      </c>
      <c r="F641" s="534">
        <v>21</v>
      </c>
      <c r="G641" s="535">
        <f>F641*CCBASE!$B$51</f>
        <v>756</v>
      </c>
      <c r="H641" s="535">
        <f>CCBASE!$I$11*B641/1000</f>
        <v>201.24120274999999</v>
      </c>
      <c r="I641" s="535"/>
      <c r="J641" s="535"/>
      <c r="K641" s="535"/>
      <c r="L641" s="534"/>
      <c r="M641" s="535">
        <f>CCBASE!$I$15*B641/1000</f>
        <v>99.807356250000012</v>
      </c>
      <c r="N641" s="535">
        <f>CCBASE!$I$7*B641/1000</f>
        <v>39.427849999999999</v>
      </c>
      <c r="O641" s="535">
        <f>CCBASE!$I$45*B641/1000</f>
        <v>12.4625</v>
      </c>
      <c r="P641" s="535">
        <f>CCBASE!$I$10</f>
        <v>30.661922000000001</v>
      </c>
      <c r="Q641" s="535">
        <f>CCBASE!$I$51</f>
        <v>2.9</v>
      </c>
      <c r="R641" s="535">
        <f>CCBASE!$I$4</f>
        <v>8.3986041999999994</v>
      </c>
      <c r="S641" s="535">
        <f>CCBASE!$I$8</f>
        <v>16.25526</v>
      </c>
      <c r="T641" s="534"/>
      <c r="U641" s="540">
        <f>CCBASE!$I$47</f>
        <v>14.41</v>
      </c>
      <c r="V641" s="535"/>
      <c r="W641" s="535">
        <f>CCBASE!$I$41*B641/1000</f>
        <v>73.814462499999991</v>
      </c>
      <c r="X641" s="535"/>
      <c r="Y641" s="535"/>
      <c r="Z641" s="535"/>
      <c r="AA641" s="535"/>
      <c r="AB641" s="535"/>
      <c r="AC641" s="535"/>
      <c r="AD641" s="554">
        <f>CCBASE!$I$33*2</f>
        <v>136.03372999999999</v>
      </c>
      <c r="AI641" s="537"/>
      <c r="AJ641" s="537"/>
      <c r="AK641" s="538"/>
      <c r="AL641" s="538"/>
      <c r="AM641" s="538"/>
      <c r="AN641" s="538"/>
      <c r="AO641" s="538"/>
      <c r="AP641" s="538"/>
      <c r="AQ641" s="538"/>
      <c r="AR641" s="538"/>
      <c r="AS641" s="538"/>
    </row>
    <row r="642" spans="1:45" ht="17" customHeight="1" thickBot="1" x14ac:dyDescent="0.25">
      <c r="A642" s="561" t="s">
        <v>1068</v>
      </c>
      <c r="B642" s="533">
        <v>1500</v>
      </c>
      <c r="C642" s="533">
        <v>1500</v>
      </c>
      <c r="D642" s="553" t="str">
        <f t="shared" si="23"/>
        <v>UVX-M15001500</v>
      </c>
      <c r="E642" s="907">
        <f t="shared" si="24"/>
        <v>1476.7635619999996</v>
      </c>
      <c r="F642" s="534">
        <v>21</v>
      </c>
      <c r="G642" s="535">
        <f>F642*CCBASE!$B$51</f>
        <v>756</v>
      </c>
      <c r="H642" s="535">
        <f>CCBASE!$I$11*B642/1000</f>
        <v>241.48944329999998</v>
      </c>
      <c r="I642" s="535"/>
      <c r="J642" s="535"/>
      <c r="K642" s="535"/>
      <c r="L642" s="534"/>
      <c r="M642" s="535">
        <f>CCBASE!$I$15*B642/1000</f>
        <v>119.76882750000001</v>
      </c>
      <c r="N642" s="535">
        <f>CCBASE!$I$7*B642/1000</f>
        <v>47.313420000000008</v>
      </c>
      <c r="O642" s="535">
        <f>CCBASE!$I$45*B642/1000</f>
        <v>14.955000000000002</v>
      </c>
      <c r="P642" s="535">
        <f>CCBASE!$I$10</f>
        <v>30.661922000000001</v>
      </c>
      <c r="Q642" s="535">
        <f>CCBASE!$I$51</f>
        <v>2.9</v>
      </c>
      <c r="R642" s="535">
        <f>CCBASE!$I$4</f>
        <v>8.3986041999999994</v>
      </c>
      <c r="S642" s="535">
        <f>CCBASE!$I$8</f>
        <v>16.25526</v>
      </c>
      <c r="T642" s="534"/>
      <c r="U642" s="540">
        <f>CCBASE!$I$47</f>
        <v>14.41</v>
      </c>
      <c r="V642" s="535"/>
      <c r="W642" s="535">
        <f>CCBASE!$I$41*B642/1000</f>
        <v>88.577354999999997</v>
      </c>
      <c r="X642" s="535"/>
      <c r="Y642" s="535"/>
      <c r="Z642" s="535"/>
      <c r="AA642" s="535"/>
      <c r="AB642" s="535"/>
      <c r="AC642" s="535"/>
      <c r="AD642" s="554">
        <f>CCBASE!$I$33*2</f>
        <v>136.03372999999999</v>
      </c>
      <c r="AI642" s="537"/>
      <c r="AJ642" s="537"/>
      <c r="AK642" s="538"/>
      <c r="AL642" s="538"/>
      <c r="AM642" s="538"/>
      <c r="AN642" s="538"/>
      <c r="AO642" s="538"/>
      <c r="AP642" s="538"/>
      <c r="AQ642" s="538"/>
      <c r="AR642" s="538"/>
      <c r="AS642" s="538"/>
    </row>
    <row r="643" spans="1:45" ht="17" customHeight="1" thickBot="1" x14ac:dyDescent="0.25">
      <c r="A643" s="561" t="s">
        <v>1068</v>
      </c>
      <c r="B643" s="533">
        <v>1750</v>
      </c>
      <c r="C643" s="533">
        <v>1500</v>
      </c>
      <c r="D643" s="553" t="str">
        <f t="shared" si="23"/>
        <v>UVX-M17501500</v>
      </c>
      <c r="E643" s="907">
        <f t="shared" si="24"/>
        <v>1562.1142362999999</v>
      </c>
      <c r="F643" s="534">
        <v>21</v>
      </c>
      <c r="G643" s="535">
        <f>F643*CCBASE!$B$51</f>
        <v>756</v>
      </c>
      <c r="H643" s="535">
        <f>CCBASE!$I$11*B643/1000</f>
        <v>281.73768385</v>
      </c>
      <c r="I643" s="535"/>
      <c r="J643" s="535"/>
      <c r="K643" s="535"/>
      <c r="L643" s="534"/>
      <c r="M643" s="535">
        <f>CCBASE!$I$15*B643/1000</f>
        <v>139.73029875</v>
      </c>
      <c r="N643" s="535">
        <f>CCBASE!$I$7*B643/1000</f>
        <v>55.198990000000002</v>
      </c>
      <c r="O643" s="535">
        <f>CCBASE!$I$45*B643/1000</f>
        <v>17.447500000000002</v>
      </c>
      <c r="P643" s="535">
        <f>CCBASE!$I$10</f>
        <v>30.661922000000001</v>
      </c>
      <c r="Q643" s="535">
        <f>CCBASE!$I$51</f>
        <v>2.9</v>
      </c>
      <c r="R643" s="535">
        <f>CCBASE!$I$4</f>
        <v>8.3986041999999994</v>
      </c>
      <c r="S643" s="535">
        <f>CCBASE!$I$8</f>
        <v>16.25526</v>
      </c>
      <c r="T643" s="534"/>
      <c r="U643" s="540">
        <f>CCBASE!$I$47</f>
        <v>14.41</v>
      </c>
      <c r="V643" s="535"/>
      <c r="W643" s="535">
        <f>CCBASE!$I$41*B643/1000</f>
        <v>103.3402475</v>
      </c>
      <c r="X643" s="535"/>
      <c r="Y643" s="535"/>
      <c r="Z643" s="535"/>
      <c r="AA643" s="535"/>
      <c r="AB643" s="535"/>
      <c r="AC643" s="535"/>
      <c r="AD643" s="554">
        <f>CCBASE!$I$33*2</f>
        <v>136.03372999999999</v>
      </c>
      <c r="AI643" s="537"/>
      <c r="AJ643" s="537"/>
      <c r="AK643" s="538"/>
      <c r="AL643" s="538"/>
      <c r="AM643" s="538"/>
      <c r="AN643" s="538"/>
      <c r="AO643" s="538"/>
      <c r="AP643" s="538"/>
      <c r="AQ643" s="538"/>
      <c r="AR643" s="538"/>
      <c r="AS643" s="538"/>
    </row>
    <row r="644" spans="1:45" ht="17" customHeight="1" thickBot="1" x14ac:dyDescent="0.25">
      <c r="A644" s="561" t="s">
        <v>1068</v>
      </c>
      <c r="B644" s="533">
        <v>2000</v>
      </c>
      <c r="C644" s="533">
        <v>1500</v>
      </c>
      <c r="D644" s="553" t="str">
        <f t="shared" si="23"/>
        <v>UVX-M20001500</v>
      </c>
      <c r="E644" s="907">
        <f t="shared" si="24"/>
        <v>1656.5141108999997</v>
      </c>
      <c r="F644" s="534">
        <v>21</v>
      </c>
      <c r="G644" s="535">
        <f>F644*CCBASE!$B$51</f>
        <v>756</v>
      </c>
      <c r="H644" s="535">
        <f>CCBASE!$I$11*B644/1000</f>
        <v>321.98592439999999</v>
      </c>
      <c r="I644" s="535"/>
      <c r="J644" s="535"/>
      <c r="K644" s="535"/>
      <c r="L644" s="534"/>
      <c r="M644" s="535">
        <f>CCBASE!$I$15*B644/1000</f>
        <v>159.69177000000002</v>
      </c>
      <c r="N644" s="535">
        <f>CCBASE!$I$7*B644/1000</f>
        <v>63.084560000000003</v>
      </c>
      <c r="O644" s="535">
        <f>CCBASE!$I$45*B644/1000</f>
        <v>19.940000000000001</v>
      </c>
      <c r="P644" s="535">
        <f>CCBASE!$I$9</f>
        <v>39.7111223</v>
      </c>
      <c r="Q644" s="535">
        <f>CCBASE!$I$51</f>
        <v>2.9</v>
      </c>
      <c r="R644" s="535">
        <f>CCBASE!$I$4</f>
        <v>8.3986041999999994</v>
      </c>
      <c r="S644" s="535">
        <f>CCBASE!$I$8</f>
        <v>16.25526</v>
      </c>
      <c r="T644" s="534"/>
      <c r="U644" s="540">
        <f>CCBASE!$I$47</f>
        <v>14.41</v>
      </c>
      <c r="V644" s="535"/>
      <c r="W644" s="535">
        <f>CCBASE!$I$41*B644/1000</f>
        <v>118.10314</v>
      </c>
      <c r="X644" s="535"/>
      <c r="Y644" s="535"/>
      <c r="Z644" s="535"/>
      <c r="AA644" s="535"/>
      <c r="AB644" s="535"/>
      <c r="AC644" s="535"/>
      <c r="AD644" s="554">
        <f>CCBASE!$I$33*2</f>
        <v>136.03372999999999</v>
      </c>
      <c r="AI644" s="537"/>
      <c r="AJ644" s="537"/>
      <c r="AK644" s="538"/>
      <c r="AL644" s="538"/>
      <c r="AM644" s="538"/>
      <c r="AN644" s="538"/>
      <c r="AO644" s="538"/>
      <c r="AP644" s="538"/>
      <c r="AQ644" s="538"/>
      <c r="AR644" s="538"/>
      <c r="AS644" s="538"/>
    </row>
    <row r="645" spans="1:45" ht="17" customHeight="1" thickBot="1" x14ac:dyDescent="0.25">
      <c r="A645" s="561" t="s">
        <v>1068</v>
      </c>
      <c r="B645" s="533">
        <v>2250</v>
      </c>
      <c r="C645" s="533">
        <v>1500</v>
      </c>
      <c r="D645" s="553" t="str">
        <f t="shared" si="23"/>
        <v>UVX-M22501500</v>
      </c>
      <c r="E645" s="907">
        <f t="shared" si="24"/>
        <v>1792.2747851999998</v>
      </c>
      <c r="F645" s="534">
        <v>22</v>
      </c>
      <c r="G645" s="535">
        <f>F645*CCBASE!$B$51</f>
        <v>792</v>
      </c>
      <c r="H645" s="535">
        <f>CCBASE!$I$11*B645/1000</f>
        <v>362.23416494999998</v>
      </c>
      <c r="I645" s="535"/>
      <c r="J645" s="535"/>
      <c r="K645" s="535"/>
      <c r="L645" s="534"/>
      <c r="M645" s="535">
        <f>CCBASE!$I$15*B645/1000</f>
        <v>179.65324125000001</v>
      </c>
      <c r="N645" s="535">
        <f>CCBASE!$I$7*B645/1000</f>
        <v>70.970130000000012</v>
      </c>
      <c r="O645" s="535">
        <f>CCBASE!$I$45*B645/1000</f>
        <v>22.432500000000001</v>
      </c>
      <c r="P645" s="535">
        <f>CCBASE!$I$9</f>
        <v>39.7111223</v>
      </c>
      <c r="Q645" s="535">
        <f>CCBASE!$I$51</f>
        <v>2.9</v>
      </c>
      <c r="R645" s="535">
        <f>CCBASE!$I$4</f>
        <v>8.3986041999999994</v>
      </c>
      <c r="S645" s="535">
        <f>CCBASE!$I$8</f>
        <v>16.25526</v>
      </c>
      <c r="T645" s="534"/>
      <c r="U645" s="540">
        <f>CCBASE!$I$47*2</f>
        <v>28.82</v>
      </c>
      <c r="V645" s="535"/>
      <c r="W645" s="535">
        <f>CCBASE!$I$41*B645/1000</f>
        <v>132.86603249999999</v>
      </c>
      <c r="X645" s="535"/>
      <c r="Y645" s="535"/>
      <c r="Z645" s="535"/>
      <c r="AA645" s="535"/>
      <c r="AB645" s="535"/>
      <c r="AC645" s="535"/>
      <c r="AD645" s="554">
        <f>CCBASE!$I$33*2</f>
        <v>136.03372999999999</v>
      </c>
      <c r="AI645" s="537"/>
      <c r="AJ645" s="537"/>
      <c r="AK645" s="538"/>
      <c r="AL645" s="538"/>
      <c r="AM645" s="538"/>
      <c r="AN645" s="538"/>
      <c r="AO645" s="538"/>
      <c r="AP645" s="538"/>
      <c r="AQ645" s="538"/>
      <c r="AR645" s="538"/>
      <c r="AS645" s="538"/>
    </row>
    <row r="646" spans="1:45" ht="17" customHeight="1" thickBot="1" x14ac:dyDescent="0.25">
      <c r="A646" s="561" t="s">
        <v>1068</v>
      </c>
      <c r="B646" s="533">
        <v>2500</v>
      </c>
      <c r="C646" s="533">
        <v>1500</v>
      </c>
      <c r="D646" s="553" t="str">
        <f t="shared" si="23"/>
        <v>UVX-M25001500</v>
      </c>
      <c r="E646" s="907">
        <f t="shared" si="24"/>
        <v>1877.6254594999996</v>
      </c>
      <c r="F646" s="534">
        <v>22</v>
      </c>
      <c r="G646" s="535">
        <f>F646*CCBASE!$B$51</f>
        <v>792</v>
      </c>
      <c r="H646" s="535">
        <f>CCBASE!$I$11*B646/1000</f>
        <v>402.48240549999997</v>
      </c>
      <c r="I646" s="535"/>
      <c r="J646" s="535"/>
      <c r="K646" s="535"/>
      <c r="L646" s="534"/>
      <c r="M646" s="535">
        <f>CCBASE!$I$15*B646/1000</f>
        <v>199.61471250000002</v>
      </c>
      <c r="N646" s="535">
        <f>CCBASE!$I$7*B646/1000</f>
        <v>78.855699999999999</v>
      </c>
      <c r="O646" s="535">
        <f>CCBASE!$I$45*B646/1000</f>
        <v>24.925000000000001</v>
      </c>
      <c r="P646" s="535">
        <f>CCBASE!$I$9</f>
        <v>39.7111223</v>
      </c>
      <c r="Q646" s="535">
        <f>CCBASE!$I$51</f>
        <v>2.9</v>
      </c>
      <c r="R646" s="535">
        <f>CCBASE!$I$4</f>
        <v>8.3986041999999994</v>
      </c>
      <c r="S646" s="535">
        <f>CCBASE!$I$8</f>
        <v>16.25526</v>
      </c>
      <c r="T646" s="534"/>
      <c r="U646" s="540">
        <f>CCBASE!$I$47*2</f>
        <v>28.82</v>
      </c>
      <c r="V646" s="535"/>
      <c r="W646" s="535">
        <f>CCBASE!$I$41*B646/1000</f>
        <v>147.62892499999998</v>
      </c>
      <c r="X646" s="535"/>
      <c r="Y646" s="535"/>
      <c r="Z646" s="535"/>
      <c r="AA646" s="535"/>
      <c r="AB646" s="535"/>
      <c r="AC646" s="535"/>
      <c r="AD646" s="554">
        <f>CCBASE!$I$33*2</f>
        <v>136.03372999999999</v>
      </c>
      <c r="AI646" s="537"/>
      <c r="AJ646" s="537"/>
      <c r="AK646" s="538"/>
      <c r="AL646" s="538"/>
      <c r="AM646" s="538"/>
      <c r="AN646" s="538"/>
      <c r="AO646" s="538"/>
      <c r="AP646" s="538"/>
      <c r="AQ646" s="538"/>
      <c r="AR646" s="538"/>
      <c r="AS646" s="538"/>
    </row>
    <row r="647" spans="1:45" ht="17" customHeight="1" thickBot="1" x14ac:dyDescent="0.25">
      <c r="A647" s="561" t="s">
        <v>1068</v>
      </c>
      <c r="B647" s="533">
        <v>2750</v>
      </c>
      <c r="C647" s="533">
        <v>1500</v>
      </c>
      <c r="D647" s="553" t="str">
        <f t="shared" si="23"/>
        <v>UVX-M27501500</v>
      </c>
      <c r="E647" s="907">
        <f t="shared" si="24"/>
        <v>1998.9761337999998</v>
      </c>
      <c r="F647" s="534">
        <v>23</v>
      </c>
      <c r="G647" s="535">
        <f>F647*CCBASE!$B$51</f>
        <v>828</v>
      </c>
      <c r="H647" s="535">
        <f>CCBASE!$I$11*B647/1000</f>
        <v>442.73064604999996</v>
      </c>
      <c r="I647" s="535"/>
      <c r="J647" s="535"/>
      <c r="K647" s="535"/>
      <c r="L647" s="534"/>
      <c r="M647" s="535">
        <f>CCBASE!$I$15*B647/1000</f>
        <v>219.57618375000001</v>
      </c>
      <c r="N647" s="535">
        <f>CCBASE!$I$7*B647/1000</f>
        <v>86.74127</v>
      </c>
      <c r="O647" s="535">
        <f>CCBASE!$I$45*B647/1000</f>
        <v>27.4175</v>
      </c>
      <c r="P647" s="535">
        <f>CCBASE!$I$9</f>
        <v>39.7111223</v>
      </c>
      <c r="Q647" s="535">
        <f>CCBASE!$I$51</f>
        <v>2.9</v>
      </c>
      <c r="R647" s="535">
        <f>CCBASE!$I$4</f>
        <v>8.3986041999999994</v>
      </c>
      <c r="S647" s="535">
        <f>CCBASE!$I$8</f>
        <v>16.25526</v>
      </c>
      <c r="T647" s="534"/>
      <c r="U647" s="540">
        <f>CCBASE!$I$47*2</f>
        <v>28.82</v>
      </c>
      <c r="V647" s="535"/>
      <c r="W647" s="535">
        <f>CCBASE!$I$41*B647/1000</f>
        <v>162.3918175</v>
      </c>
      <c r="X647" s="535"/>
      <c r="Y647" s="535"/>
      <c r="Z647" s="535"/>
      <c r="AA647" s="535"/>
      <c r="AB647" s="535"/>
      <c r="AC647" s="535"/>
      <c r="AD647" s="554">
        <f>CCBASE!$I$33*2</f>
        <v>136.03372999999999</v>
      </c>
      <c r="AI647" s="537"/>
      <c r="AJ647" s="537"/>
      <c r="AN647" s="538"/>
      <c r="AO647" s="538"/>
      <c r="AP647" s="538"/>
      <c r="AQ647" s="538"/>
      <c r="AR647" s="538"/>
      <c r="AS647" s="538"/>
    </row>
    <row r="648" spans="1:45" ht="17" customHeight="1" thickBot="1" x14ac:dyDescent="0.25">
      <c r="A648" s="561" t="s">
        <v>1068</v>
      </c>
      <c r="B648" s="533">
        <v>3000</v>
      </c>
      <c r="C648" s="533">
        <v>1500</v>
      </c>
      <c r="D648" s="553" t="str">
        <f t="shared" si="23"/>
        <v>UVX-M30001500</v>
      </c>
      <c r="E648" s="907">
        <f t="shared" si="24"/>
        <v>2084.3268080999997</v>
      </c>
      <c r="F648" s="534">
        <v>23</v>
      </c>
      <c r="G648" s="535">
        <f>F648*CCBASE!$B$51</f>
        <v>828</v>
      </c>
      <c r="H648" s="535">
        <f>CCBASE!$I$11*B648/1000</f>
        <v>482.97888659999995</v>
      </c>
      <c r="I648" s="535"/>
      <c r="J648" s="535"/>
      <c r="K648" s="535"/>
      <c r="L648" s="534"/>
      <c r="M648" s="535">
        <f>CCBASE!$I$15*B648/1000</f>
        <v>239.53765500000003</v>
      </c>
      <c r="N648" s="535">
        <f>CCBASE!$I$7*B648/1000</f>
        <v>94.626840000000016</v>
      </c>
      <c r="O648" s="535">
        <f>CCBASE!$I$45*B648/1000</f>
        <v>29.910000000000004</v>
      </c>
      <c r="P648" s="535">
        <f>CCBASE!$I$9</f>
        <v>39.7111223</v>
      </c>
      <c r="Q648" s="535">
        <f>CCBASE!$I$51</f>
        <v>2.9</v>
      </c>
      <c r="R648" s="535">
        <f>CCBASE!$I$4</f>
        <v>8.3986041999999994</v>
      </c>
      <c r="S648" s="535">
        <f>CCBASE!$I$8</f>
        <v>16.25526</v>
      </c>
      <c r="T648" s="534"/>
      <c r="U648" s="540">
        <f>CCBASE!$I$47*2</f>
        <v>28.82</v>
      </c>
      <c r="V648" s="535"/>
      <c r="W648" s="535">
        <f>CCBASE!$I$41*B648/1000</f>
        <v>177.15470999999999</v>
      </c>
      <c r="X648" s="535"/>
      <c r="Y648" s="535"/>
      <c r="Z648" s="535"/>
      <c r="AA648" s="535"/>
      <c r="AB648" s="535"/>
      <c r="AC648" s="535"/>
      <c r="AD648" s="554">
        <f>CCBASE!$I$33*2</f>
        <v>136.03372999999999</v>
      </c>
      <c r="AI648" s="537"/>
      <c r="AJ648" s="537"/>
      <c r="AN648" s="538"/>
      <c r="AO648" s="538"/>
      <c r="AP648" s="538"/>
      <c r="AQ648" s="538"/>
      <c r="AR648" s="538"/>
      <c r="AS648" s="538"/>
    </row>
    <row r="649" spans="1:45" ht="17" customHeight="1" thickBot="1" x14ac:dyDescent="0.25">
      <c r="A649" s="561" t="s">
        <v>1068</v>
      </c>
      <c r="B649" s="533">
        <v>1000</v>
      </c>
      <c r="C649" s="533">
        <v>1750</v>
      </c>
      <c r="D649" s="553" t="str">
        <f t="shared" si="23"/>
        <v>UVX-M10001750</v>
      </c>
      <c r="E649" s="907">
        <f t="shared" si="24"/>
        <v>1391.2311573999998</v>
      </c>
      <c r="F649" s="549">
        <v>21</v>
      </c>
      <c r="G649" s="535">
        <f>F649*CCBASE!$B$51</f>
        <v>756</v>
      </c>
      <c r="H649" s="535">
        <f>CCBASE!$I$11*B649/1000</f>
        <v>160.99296219999999</v>
      </c>
      <c r="I649" s="535"/>
      <c r="J649" s="535"/>
      <c r="K649" s="535"/>
      <c r="L649" s="540"/>
      <c r="M649" s="535">
        <f>CCBASE!$I$15*B649/1000</f>
        <v>79.84588500000001</v>
      </c>
      <c r="N649" s="535">
        <f>CCBASE!$I$7*B649/1000</f>
        <v>31.542280000000002</v>
      </c>
      <c r="O649" s="535">
        <f>CCBASE!$I$45*B649/1000</f>
        <v>9.9700000000000006</v>
      </c>
      <c r="P649" s="535">
        <f>CCBASE!$I$10</f>
        <v>30.661922000000001</v>
      </c>
      <c r="Q649" s="535">
        <f>CCBASE!$I$51</f>
        <v>2.9</v>
      </c>
      <c r="R649" s="535">
        <f>CCBASE!$I$4</f>
        <v>8.3986041999999994</v>
      </c>
      <c r="S649" s="535">
        <f>CCBASE!$I$8</f>
        <v>16.25526</v>
      </c>
      <c r="T649" s="534"/>
      <c r="U649" s="540">
        <f>CCBASE!$I$47</f>
        <v>14.41</v>
      </c>
      <c r="V649" s="534"/>
      <c r="W649" s="535">
        <f>CCBASE!$I$42*B649/1000</f>
        <v>70.880589999999998</v>
      </c>
      <c r="X649" s="535"/>
      <c r="Y649" s="535"/>
      <c r="Z649" s="535"/>
      <c r="AA649" s="535"/>
      <c r="AB649" s="535"/>
      <c r="AC649" s="535"/>
      <c r="AD649" s="554">
        <f>CCBASE!$I$34*2</f>
        <v>209.37365399999999</v>
      </c>
      <c r="AI649" s="537"/>
      <c r="AJ649" s="537"/>
      <c r="AK649" s="538"/>
      <c r="AL649" s="538"/>
      <c r="AM649" s="538"/>
      <c r="AN649" s="538"/>
      <c r="AO649" s="538"/>
      <c r="AP649" s="538"/>
      <c r="AQ649" s="538"/>
      <c r="AR649" s="538"/>
      <c r="AS649" s="538"/>
    </row>
    <row r="650" spans="1:45" ht="17" customHeight="1" thickBot="1" x14ac:dyDescent="0.25">
      <c r="A650" s="561" t="s">
        <v>1068</v>
      </c>
      <c r="B650" s="533">
        <v>1250</v>
      </c>
      <c r="C650" s="533">
        <v>1750</v>
      </c>
      <c r="D650" s="553" t="str">
        <f t="shared" si="23"/>
        <v>UVX-M12501750</v>
      </c>
      <c r="E650" s="907">
        <f t="shared" si="24"/>
        <v>1479.5390867000001</v>
      </c>
      <c r="F650" s="534">
        <v>21</v>
      </c>
      <c r="G650" s="535">
        <f>F650*CCBASE!$B$51</f>
        <v>756</v>
      </c>
      <c r="H650" s="535">
        <f>CCBASE!$I$11*B650/1000</f>
        <v>201.24120274999999</v>
      </c>
      <c r="I650" s="535"/>
      <c r="J650" s="535"/>
      <c r="K650" s="535"/>
      <c r="L650" s="540"/>
      <c r="M650" s="535">
        <f>CCBASE!$I$15*B650/1000</f>
        <v>99.807356250000012</v>
      </c>
      <c r="N650" s="535">
        <f>CCBASE!$I$7*B650/1000</f>
        <v>39.427849999999999</v>
      </c>
      <c r="O650" s="535">
        <f>CCBASE!$I$45*B650/1000</f>
        <v>12.4625</v>
      </c>
      <c r="P650" s="535">
        <f>CCBASE!$I$10</f>
        <v>30.661922000000001</v>
      </c>
      <c r="Q650" s="535">
        <f>CCBASE!$I$51</f>
        <v>2.9</v>
      </c>
      <c r="R650" s="535">
        <f>CCBASE!$I$4</f>
        <v>8.3986041999999994</v>
      </c>
      <c r="S650" s="535">
        <f>CCBASE!$I$8</f>
        <v>16.25526</v>
      </c>
      <c r="T650" s="534"/>
      <c r="U650" s="540">
        <f>CCBASE!$I$47</f>
        <v>14.41</v>
      </c>
      <c r="V650" s="534"/>
      <c r="W650" s="535">
        <f>CCBASE!$I$42*B650/1000</f>
        <v>88.600737500000008</v>
      </c>
      <c r="X650" s="535"/>
      <c r="Y650" s="535"/>
      <c r="Z650" s="535"/>
      <c r="AA650" s="535"/>
      <c r="AB650" s="535"/>
      <c r="AC650" s="535"/>
      <c r="AD650" s="554">
        <f>CCBASE!$I$34*2</f>
        <v>209.37365399999999</v>
      </c>
      <c r="AI650" s="537"/>
      <c r="AJ650" s="537"/>
      <c r="AK650" s="538"/>
      <c r="AL650" s="538"/>
      <c r="AM650" s="538"/>
      <c r="AN650" s="538"/>
      <c r="AO650" s="538"/>
      <c r="AP650" s="538"/>
      <c r="AQ650" s="538"/>
      <c r="AR650" s="538"/>
      <c r="AS650" s="538"/>
    </row>
    <row r="651" spans="1:45" ht="17" customHeight="1" thickBot="1" x14ac:dyDescent="0.25">
      <c r="A651" s="561" t="s">
        <v>1068</v>
      </c>
      <c r="B651" s="533">
        <v>1500</v>
      </c>
      <c r="C651" s="533">
        <v>1750</v>
      </c>
      <c r="D651" s="553" t="str">
        <f t="shared" si="23"/>
        <v>UVX-M15001750</v>
      </c>
      <c r="E651" s="907">
        <f t="shared" si="24"/>
        <v>1567.8470159999999</v>
      </c>
      <c r="F651" s="534">
        <v>21</v>
      </c>
      <c r="G651" s="535">
        <f>F651*CCBASE!$B$51</f>
        <v>756</v>
      </c>
      <c r="H651" s="535">
        <f>CCBASE!$I$11*B651/1000</f>
        <v>241.48944329999998</v>
      </c>
      <c r="I651" s="535"/>
      <c r="J651" s="535"/>
      <c r="K651" s="535"/>
      <c r="L651" s="540"/>
      <c r="M651" s="535">
        <f>CCBASE!$I$15*B651/1000</f>
        <v>119.76882750000001</v>
      </c>
      <c r="N651" s="535">
        <f>CCBASE!$I$7*B651/1000</f>
        <v>47.313420000000008</v>
      </c>
      <c r="O651" s="535">
        <f>CCBASE!$I$45*B651/1000</f>
        <v>14.955000000000002</v>
      </c>
      <c r="P651" s="535">
        <f>CCBASE!$I$10</f>
        <v>30.661922000000001</v>
      </c>
      <c r="Q651" s="535">
        <f>CCBASE!$I$51</f>
        <v>2.9</v>
      </c>
      <c r="R651" s="535">
        <f>CCBASE!$I$4</f>
        <v>8.3986041999999994</v>
      </c>
      <c r="S651" s="535">
        <f>CCBASE!$I$8</f>
        <v>16.25526</v>
      </c>
      <c r="T651" s="534"/>
      <c r="U651" s="540">
        <f>CCBASE!$I$47</f>
        <v>14.41</v>
      </c>
      <c r="V651" s="534"/>
      <c r="W651" s="535">
        <f>CCBASE!$I$42*B651/1000</f>
        <v>106.32088499999999</v>
      </c>
      <c r="X651" s="535"/>
      <c r="Y651" s="535"/>
      <c r="Z651" s="535"/>
      <c r="AA651" s="535"/>
      <c r="AB651" s="535"/>
      <c r="AC651" s="535"/>
      <c r="AD651" s="554">
        <f>CCBASE!$I$34*2</f>
        <v>209.37365399999999</v>
      </c>
      <c r="AI651" s="537"/>
      <c r="AJ651" s="537"/>
      <c r="AK651" s="538"/>
      <c r="AL651" s="538"/>
      <c r="AM651" s="538"/>
      <c r="AN651" s="538"/>
      <c r="AO651" s="538"/>
      <c r="AP651" s="538"/>
      <c r="AQ651" s="538"/>
      <c r="AR651" s="538"/>
      <c r="AS651" s="538"/>
    </row>
    <row r="652" spans="1:45" ht="17" customHeight="1" thickBot="1" x14ac:dyDescent="0.25">
      <c r="A652" s="561" t="s">
        <v>1068</v>
      </c>
      <c r="B652" s="533">
        <v>1750</v>
      </c>
      <c r="C652" s="533">
        <v>1750</v>
      </c>
      <c r="D652" s="553" t="str">
        <f t="shared" si="23"/>
        <v>UVX-M17501750</v>
      </c>
      <c r="E652" s="907">
        <f t="shared" si="24"/>
        <v>1665.2041455999999</v>
      </c>
      <c r="F652" s="534">
        <v>21</v>
      </c>
      <c r="G652" s="535">
        <f>F652*CCBASE!$B$51</f>
        <v>756</v>
      </c>
      <c r="H652" s="535">
        <f>CCBASE!$I$11*B652/1000</f>
        <v>281.73768385</v>
      </c>
      <c r="I652" s="535"/>
      <c r="J652" s="535"/>
      <c r="K652" s="535"/>
      <c r="L652" s="540"/>
      <c r="M652" s="535">
        <f>CCBASE!$I$15*B652/1000</f>
        <v>139.73029875</v>
      </c>
      <c r="N652" s="535">
        <f>CCBASE!$I$7*B652/1000</f>
        <v>55.198990000000002</v>
      </c>
      <c r="O652" s="535">
        <f>CCBASE!$I$45*B652/1000</f>
        <v>17.447500000000002</v>
      </c>
      <c r="P652" s="535">
        <f>CCBASE!$I$9</f>
        <v>39.7111223</v>
      </c>
      <c r="Q652" s="535">
        <f>CCBASE!$I$51</f>
        <v>2.9</v>
      </c>
      <c r="R652" s="535">
        <f>CCBASE!$I$4</f>
        <v>8.3986041999999994</v>
      </c>
      <c r="S652" s="535">
        <f>CCBASE!$I$8</f>
        <v>16.25526</v>
      </c>
      <c r="T652" s="534"/>
      <c r="U652" s="540">
        <f>CCBASE!$I$47</f>
        <v>14.41</v>
      </c>
      <c r="V652" s="534"/>
      <c r="W652" s="535">
        <f>CCBASE!$I$42*B652/1000</f>
        <v>124.0410325</v>
      </c>
      <c r="X652" s="535"/>
      <c r="Y652" s="535"/>
      <c r="Z652" s="535"/>
      <c r="AA652" s="535"/>
      <c r="AB652" s="535"/>
      <c r="AC652" s="535"/>
      <c r="AD652" s="554">
        <f>CCBASE!$I$34*2</f>
        <v>209.37365399999999</v>
      </c>
      <c r="AI652" s="537"/>
      <c r="AJ652" s="537"/>
    </row>
    <row r="653" spans="1:45" ht="17" customHeight="1" thickBot="1" x14ac:dyDescent="0.25">
      <c r="A653" s="561" t="s">
        <v>1068</v>
      </c>
      <c r="B653" s="533">
        <v>2000</v>
      </c>
      <c r="C653" s="533">
        <v>1750</v>
      </c>
      <c r="D653" s="553" t="str">
        <f t="shared" si="23"/>
        <v>UVX-M20001750</v>
      </c>
      <c r="E653" s="907">
        <f t="shared" si="24"/>
        <v>1753.5120748999998</v>
      </c>
      <c r="F653" s="534">
        <v>21</v>
      </c>
      <c r="G653" s="535">
        <f>F653*CCBASE!$B$51</f>
        <v>756</v>
      </c>
      <c r="H653" s="535">
        <f>CCBASE!$I$11*B653/1000</f>
        <v>321.98592439999999</v>
      </c>
      <c r="I653" s="535"/>
      <c r="J653" s="535"/>
      <c r="K653" s="535"/>
      <c r="L653" s="540"/>
      <c r="M653" s="535">
        <f>CCBASE!$I$15*B653/1000</f>
        <v>159.69177000000002</v>
      </c>
      <c r="N653" s="535">
        <f>CCBASE!$I$7*B653/1000</f>
        <v>63.084560000000003</v>
      </c>
      <c r="O653" s="535">
        <f>CCBASE!$I$45*B653/1000</f>
        <v>19.940000000000001</v>
      </c>
      <c r="P653" s="535">
        <f>CCBASE!$I$9</f>
        <v>39.7111223</v>
      </c>
      <c r="Q653" s="535">
        <f>CCBASE!$I$51</f>
        <v>2.9</v>
      </c>
      <c r="R653" s="535">
        <f>CCBASE!$I$4</f>
        <v>8.3986041999999994</v>
      </c>
      <c r="S653" s="535">
        <f>CCBASE!$I$8</f>
        <v>16.25526</v>
      </c>
      <c r="T653" s="534"/>
      <c r="U653" s="540">
        <f>CCBASE!$I$47</f>
        <v>14.41</v>
      </c>
      <c r="V653" s="534"/>
      <c r="W653" s="535">
        <f>CCBASE!$I$42*B653/1000</f>
        <v>141.76118</v>
      </c>
      <c r="X653" s="535"/>
      <c r="Y653" s="535"/>
      <c r="Z653" s="535"/>
      <c r="AA653" s="535"/>
      <c r="AB653" s="535"/>
      <c r="AC653" s="535"/>
      <c r="AD653" s="554">
        <f>CCBASE!$I$34*2</f>
        <v>209.37365399999999</v>
      </c>
      <c r="AI653" s="537"/>
      <c r="AJ653" s="537"/>
    </row>
    <row r="654" spans="1:45" ht="17" customHeight="1" thickBot="1" x14ac:dyDescent="0.25">
      <c r="A654" s="561" t="s">
        <v>1068</v>
      </c>
      <c r="B654" s="533">
        <v>2250</v>
      </c>
      <c r="C654" s="533">
        <v>1750</v>
      </c>
      <c r="D654" s="553" t="str">
        <f t="shared" si="23"/>
        <v>UVX-M22501750</v>
      </c>
      <c r="E654" s="907">
        <f t="shared" si="24"/>
        <v>1892.2300041999995</v>
      </c>
      <c r="F654" s="534">
        <v>22</v>
      </c>
      <c r="G654" s="535">
        <f>F654*CCBASE!$B$51</f>
        <v>792</v>
      </c>
      <c r="H654" s="535">
        <f>CCBASE!$I$11*B654/1000</f>
        <v>362.23416494999998</v>
      </c>
      <c r="I654" s="535"/>
      <c r="J654" s="535"/>
      <c r="K654" s="535"/>
      <c r="L654" s="540"/>
      <c r="M654" s="535">
        <f>CCBASE!$I$15*B654/1000</f>
        <v>179.65324125000001</v>
      </c>
      <c r="N654" s="535">
        <f>CCBASE!$I$7*B654/1000</f>
        <v>70.970130000000012</v>
      </c>
      <c r="O654" s="535">
        <f>CCBASE!$I$45*B654/1000</f>
        <v>22.432500000000001</v>
      </c>
      <c r="P654" s="535">
        <f>CCBASE!$I$9</f>
        <v>39.7111223</v>
      </c>
      <c r="Q654" s="535">
        <f>CCBASE!$I$51</f>
        <v>2.9</v>
      </c>
      <c r="R654" s="535">
        <f>CCBASE!$I$4</f>
        <v>8.3986041999999994</v>
      </c>
      <c r="S654" s="535">
        <f>CCBASE!$I$8</f>
        <v>16.25526</v>
      </c>
      <c r="T654" s="534"/>
      <c r="U654" s="540">
        <f>CCBASE!$I$47*2</f>
        <v>28.82</v>
      </c>
      <c r="V654" s="534"/>
      <c r="W654" s="535">
        <f>CCBASE!$I$42*B654/1000</f>
        <v>159.48132749999999</v>
      </c>
      <c r="X654" s="535"/>
      <c r="Y654" s="535"/>
      <c r="Z654" s="535"/>
      <c r="AA654" s="535"/>
      <c r="AB654" s="535"/>
      <c r="AC654" s="535"/>
      <c r="AD654" s="554">
        <f>CCBASE!$I$34*2</f>
        <v>209.37365399999999</v>
      </c>
      <c r="AI654" s="537"/>
      <c r="AJ654" s="537"/>
      <c r="AR654" s="538"/>
      <c r="AS654" s="538"/>
    </row>
    <row r="655" spans="1:45" ht="17" customHeight="1" thickBot="1" x14ac:dyDescent="0.25">
      <c r="A655" s="561" t="s">
        <v>1068</v>
      </c>
      <c r="B655" s="533">
        <v>2500</v>
      </c>
      <c r="C655" s="533">
        <v>1750</v>
      </c>
      <c r="D655" s="553" t="str">
        <f t="shared" si="23"/>
        <v>UVX-M25001750</v>
      </c>
      <c r="E655" s="907">
        <f t="shared" si="24"/>
        <v>1980.5379334999998</v>
      </c>
      <c r="F655" s="534">
        <v>22</v>
      </c>
      <c r="G655" s="535">
        <f>F655*CCBASE!$B$51</f>
        <v>792</v>
      </c>
      <c r="H655" s="535">
        <f>CCBASE!$I$11*B655/1000</f>
        <v>402.48240549999997</v>
      </c>
      <c r="I655" s="535"/>
      <c r="J655" s="535"/>
      <c r="K655" s="535"/>
      <c r="L655" s="540"/>
      <c r="M655" s="535">
        <f>CCBASE!$I$15*B655/1000</f>
        <v>199.61471250000002</v>
      </c>
      <c r="N655" s="535">
        <f>CCBASE!$I$7*B655/1000</f>
        <v>78.855699999999999</v>
      </c>
      <c r="O655" s="535">
        <f>CCBASE!$I$45*B655/1000</f>
        <v>24.925000000000001</v>
      </c>
      <c r="P655" s="535">
        <f>CCBASE!$I$9</f>
        <v>39.7111223</v>
      </c>
      <c r="Q655" s="535">
        <f>CCBASE!$I$51</f>
        <v>2.9</v>
      </c>
      <c r="R655" s="535">
        <f>CCBASE!$I$4</f>
        <v>8.3986041999999994</v>
      </c>
      <c r="S655" s="535">
        <f>CCBASE!$I$8</f>
        <v>16.25526</v>
      </c>
      <c r="T655" s="534"/>
      <c r="U655" s="540">
        <f>CCBASE!$I$47*2</f>
        <v>28.82</v>
      </c>
      <c r="V655" s="534"/>
      <c r="W655" s="535">
        <f>CCBASE!$I$42*B655/1000</f>
        <v>177.20147500000002</v>
      </c>
      <c r="X655" s="535"/>
      <c r="Y655" s="535"/>
      <c r="Z655" s="535"/>
      <c r="AA655" s="535"/>
      <c r="AB655" s="535"/>
      <c r="AC655" s="535"/>
      <c r="AD655" s="554">
        <f>CCBASE!$I$34*2</f>
        <v>209.37365399999999</v>
      </c>
      <c r="AI655" s="537"/>
      <c r="AJ655" s="537"/>
      <c r="AR655" s="538"/>
      <c r="AS655" s="538"/>
    </row>
    <row r="656" spans="1:45" ht="17" customHeight="1" thickBot="1" x14ac:dyDescent="0.25">
      <c r="A656" s="561" t="s">
        <v>1068</v>
      </c>
      <c r="B656" s="533">
        <v>2750</v>
      </c>
      <c r="C656" s="533">
        <v>1750</v>
      </c>
      <c r="D656" s="553" t="str">
        <f t="shared" si="23"/>
        <v>UVX-M27501750</v>
      </c>
      <c r="E656" s="907">
        <f t="shared" si="24"/>
        <v>2104.8458627999998</v>
      </c>
      <c r="F656" s="534">
        <v>23</v>
      </c>
      <c r="G656" s="535">
        <f>F656*CCBASE!$B$51</f>
        <v>828</v>
      </c>
      <c r="H656" s="535">
        <f>CCBASE!$I$11*B656/1000</f>
        <v>442.73064604999996</v>
      </c>
      <c r="I656" s="535"/>
      <c r="J656" s="535"/>
      <c r="K656" s="535"/>
      <c r="L656" s="540"/>
      <c r="M656" s="535">
        <f>CCBASE!$I$15*B656/1000</f>
        <v>219.57618375000001</v>
      </c>
      <c r="N656" s="535">
        <f>CCBASE!$I$7*B656/1000</f>
        <v>86.74127</v>
      </c>
      <c r="O656" s="535">
        <f>CCBASE!$I$45*B656/1000</f>
        <v>27.4175</v>
      </c>
      <c r="P656" s="535">
        <f>CCBASE!$I$9</f>
        <v>39.7111223</v>
      </c>
      <c r="Q656" s="535">
        <f>CCBASE!$I$51</f>
        <v>2.9</v>
      </c>
      <c r="R656" s="535">
        <f>CCBASE!$I$4</f>
        <v>8.3986041999999994</v>
      </c>
      <c r="S656" s="535">
        <f>CCBASE!$I$8</f>
        <v>16.25526</v>
      </c>
      <c r="T656" s="534"/>
      <c r="U656" s="540">
        <f>CCBASE!$I$47*2</f>
        <v>28.82</v>
      </c>
      <c r="V656" s="534"/>
      <c r="W656" s="535">
        <f>CCBASE!$I$42*B656/1000</f>
        <v>194.92162249999998</v>
      </c>
      <c r="X656" s="535"/>
      <c r="Y656" s="535"/>
      <c r="Z656" s="535"/>
      <c r="AA656" s="535"/>
      <c r="AB656" s="535"/>
      <c r="AC656" s="535"/>
      <c r="AD656" s="554">
        <f>CCBASE!$I$34*2</f>
        <v>209.37365399999999</v>
      </c>
      <c r="AI656" s="537"/>
      <c r="AJ656" s="537"/>
      <c r="AK656" s="538"/>
      <c r="AL656" s="538"/>
      <c r="AM656" s="538"/>
      <c r="AN656" s="538"/>
      <c r="AO656" s="538"/>
      <c r="AP656" s="538"/>
      <c r="AQ656" s="538"/>
      <c r="AR656" s="538"/>
      <c r="AS656" s="538"/>
    </row>
    <row r="657" spans="1:45" ht="17" customHeight="1" thickBot="1" x14ac:dyDescent="0.25">
      <c r="A657" s="561" t="s">
        <v>1068</v>
      </c>
      <c r="B657" s="533">
        <v>3000</v>
      </c>
      <c r="C657" s="533">
        <v>1750</v>
      </c>
      <c r="D657" s="553" t="str">
        <f t="shared" si="23"/>
        <v>UVX-M30001750</v>
      </c>
      <c r="E657" s="907">
        <f t="shared" si="24"/>
        <v>2193.1537920999999</v>
      </c>
      <c r="F657" s="534">
        <v>23</v>
      </c>
      <c r="G657" s="535">
        <f>F657*CCBASE!$B$51</f>
        <v>828</v>
      </c>
      <c r="H657" s="535">
        <f>CCBASE!$I$11*B657/1000</f>
        <v>482.97888659999995</v>
      </c>
      <c r="I657" s="535"/>
      <c r="J657" s="535"/>
      <c r="K657" s="535"/>
      <c r="L657" s="540"/>
      <c r="M657" s="535">
        <f>CCBASE!$I$15*B657/1000</f>
        <v>239.53765500000003</v>
      </c>
      <c r="N657" s="535">
        <f>CCBASE!$I$7*B657/1000</f>
        <v>94.626840000000016</v>
      </c>
      <c r="O657" s="535">
        <f>CCBASE!$I$45*B657/1000</f>
        <v>29.910000000000004</v>
      </c>
      <c r="P657" s="535">
        <f>CCBASE!$I$9</f>
        <v>39.7111223</v>
      </c>
      <c r="Q657" s="535">
        <f>CCBASE!$I$51</f>
        <v>2.9</v>
      </c>
      <c r="R657" s="535">
        <f>CCBASE!$I$4</f>
        <v>8.3986041999999994</v>
      </c>
      <c r="S657" s="535">
        <f>CCBASE!$I$8</f>
        <v>16.25526</v>
      </c>
      <c r="T657" s="534"/>
      <c r="U657" s="540">
        <f>CCBASE!$I$47*2</f>
        <v>28.82</v>
      </c>
      <c r="V657" s="534"/>
      <c r="W657" s="535">
        <f>CCBASE!$I$42*B657/1000</f>
        <v>212.64176999999998</v>
      </c>
      <c r="X657" s="535"/>
      <c r="Y657" s="535"/>
      <c r="Z657" s="535"/>
      <c r="AA657" s="535"/>
      <c r="AB657" s="535"/>
      <c r="AC657" s="535"/>
      <c r="AD657" s="554">
        <f>CCBASE!$I$34*2</f>
        <v>209.37365399999999</v>
      </c>
      <c r="AI657" s="537"/>
      <c r="AJ657" s="537"/>
      <c r="AK657" s="538"/>
      <c r="AL657" s="538"/>
      <c r="AM657" s="538"/>
      <c r="AN657" s="538"/>
      <c r="AO657" s="538"/>
      <c r="AP657" s="538"/>
      <c r="AQ657" s="538"/>
      <c r="AR657" s="538"/>
      <c r="AS657" s="538"/>
    </row>
    <row r="658" spans="1:45" ht="17" customHeight="1" thickBot="1" x14ac:dyDescent="0.25">
      <c r="A658" s="561" t="s">
        <v>1068</v>
      </c>
      <c r="B658" s="533">
        <v>1000</v>
      </c>
      <c r="C658" s="533">
        <v>2000</v>
      </c>
      <c r="D658" s="553" t="str">
        <f t="shared" si="23"/>
        <v>UVX-M10002000</v>
      </c>
      <c r="E658" s="907">
        <f t="shared" si="24"/>
        <v>1483.4975133999997</v>
      </c>
      <c r="F658" s="549">
        <v>21</v>
      </c>
      <c r="G658" s="535">
        <f>F658*CCBASE!$B$51</f>
        <v>756</v>
      </c>
      <c r="H658" s="535">
        <f>CCBASE!$I$11*B658/1000</f>
        <v>160.99296219999999</v>
      </c>
      <c r="I658" s="535"/>
      <c r="J658" s="535"/>
      <c r="K658" s="535"/>
      <c r="L658" s="540"/>
      <c r="M658" s="535">
        <f>CCBASE!$I$15*B658/1000</f>
        <v>79.84588500000001</v>
      </c>
      <c r="N658" s="535">
        <f>CCBASE!$I$7*B658/1000</f>
        <v>31.542280000000002</v>
      </c>
      <c r="O658" s="535">
        <f>CCBASE!$I$45*B658/1000</f>
        <v>9.9700000000000006</v>
      </c>
      <c r="P658" s="535">
        <f>CCBASE!$I$10</f>
        <v>30.661922000000001</v>
      </c>
      <c r="Q658" s="535">
        <f>CCBASE!$I$51</f>
        <v>2.9</v>
      </c>
      <c r="R658" s="535">
        <f>CCBASE!$I$4</f>
        <v>8.3986041999999994</v>
      </c>
      <c r="S658" s="535">
        <f>CCBASE!$I$8</f>
        <v>16.25526</v>
      </c>
      <c r="T658" s="534"/>
      <c r="U658" s="540">
        <f>CCBASE!$I$47</f>
        <v>14.41</v>
      </c>
      <c r="V658" s="534"/>
      <c r="W658" s="535">
        <f>CCBASE!$I$43*B658/1000</f>
        <v>88.624119999999991</v>
      </c>
      <c r="X658" s="535"/>
      <c r="Y658" s="535"/>
      <c r="Z658" s="535"/>
      <c r="AA658" s="535"/>
      <c r="AB658" s="535"/>
      <c r="AC658" s="535"/>
      <c r="AD658" s="554">
        <f>CCBASE!$I$35*2</f>
        <v>283.89648</v>
      </c>
      <c r="AI658" s="537"/>
      <c r="AJ658" s="537"/>
      <c r="AK658" s="538"/>
      <c r="AL658" s="538"/>
      <c r="AM658" s="538"/>
      <c r="AN658" s="538"/>
      <c r="AO658" s="538"/>
      <c r="AP658" s="538"/>
      <c r="AQ658" s="538"/>
      <c r="AR658" s="538"/>
      <c r="AS658" s="538"/>
    </row>
    <row r="659" spans="1:45" ht="17" customHeight="1" thickBot="1" x14ac:dyDescent="0.25">
      <c r="A659" s="561" t="s">
        <v>1068</v>
      </c>
      <c r="B659" s="533">
        <v>1250</v>
      </c>
      <c r="C659" s="533">
        <v>2000</v>
      </c>
      <c r="D659" s="553" t="str">
        <f t="shared" si="23"/>
        <v>UVX-M12502000</v>
      </c>
      <c r="E659" s="907">
        <f t="shared" si="24"/>
        <v>1576.2413252000001</v>
      </c>
      <c r="F659" s="534">
        <v>21</v>
      </c>
      <c r="G659" s="535">
        <f>F659*CCBASE!$B$51</f>
        <v>756</v>
      </c>
      <c r="H659" s="535">
        <f>CCBASE!$I$11*B659/1000</f>
        <v>201.24120274999999</v>
      </c>
      <c r="I659" s="535"/>
      <c r="J659" s="535"/>
      <c r="K659" s="535"/>
      <c r="L659" s="540"/>
      <c r="M659" s="535">
        <f>CCBASE!$I$15*B659/1000</f>
        <v>99.807356250000012</v>
      </c>
      <c r="N659" s="535">
        <f>CCBASE!$I$7*B659/1000</f>
        <v>39.427849999999999</v>
      </c>
      <c r="O659" s="535">
        <f>CCBASE!$I$45*B659/1000</f>
        <v>12.4625</v>
      </c>
      <c r="P659" s="535">
        <f>CCBASE!$I$10</f>
        <v>30.661922000000001</v>
      </c>
      <c r="Q659" s="535">
        <f>CCBASE!$I$51</f>
        <v>2.9</v>
      </c>
      <c r="R659" s="535">
        <f>CCBASE!$I$4</f>
        <v>8.3986041999999994</v>
      </c>
      <c r="S659" s="535">
        <f>CCBASE!$I$8</f>
        <v>16.25526</v>
      </c>
      <c r="T659" s="534"/>
      <c r="U659" s="540">
        <f>CCBASE!$I$47</f>
        <v>14.41</v>
      </c>
      <c r="V659" s="534"/>
      <c r="W659" s="535">
        <f>CCBASE!$I$43*B659/1000</f>
        <v>110.78014999999999</v>
      </c>
      <c r="X659" s="535"/>
      <c r="Y659" s="535"/>
      <c r="Z659" s="535"/>
      <c r="AA659" s="535"/>
      <c r="AB659" s="535"/>
      <c r="AC659" s="535"/>
      <c r="AD659" s="554">
        <f>CCBASE!$I$35*2</f>
        <v>283.89648</v>
      </c>
      <c r="AI659" s="537"/>
      <c r="AJ659" s="537"/>
      <c r="AK659" s="538"/>
      <c r="AL659" s="538"/>
      <c r="AM659" s="538"/>
      <c r="AN659" s="538"/>
      <c r="AO659" s="538"/>
      <c r="AP659" s="538"/>
      <c r="AQ659" s="538"/>
      <c r="AR659" s="538"/>
      <c r="AS659" s="538"/>
    </row>
    <row r="660" spans="1:45" ht="17" customHeight="1" thickBot="1" x14ac:dyDescent="0.25">
      <c r="A660" s="561" t="s">
        <v>1068</v>
      </c>
      <c r="B660" s="533">
        <v>1500</v>
      </c>
      <c r="C660" s="533">
        <v>2000</v>
      </c>
      <c r="D660" s="553" t="str">
        <f t="shared" si="23"/>
        <v>UVX-M15002000</v>
      </c>
      <c r="E660" s="907">
        <f t="shared" si="24"/>
        <v>1668.9851369999997</v>
      </c>
      <c r="F660" s="534">
        <v>21</v>
      </c>
      <c r="G660" s="535">
        <f>F660*CCBASE!$B$51</f>
        <v>756</v>
      </c>
      <c r="H660" s="535">
        <f>CCBASE!$I$11*B660/1000</f>
        <v>241.48944329999998</v>
      </c>
      <c r="I660" s="535"/>
      <c r="J660" s="535"/>
      <c r="K660" s="535"/>
      <c r="L660" s="540"/>
      <c r="M660" s="535">
        <f>CCBASE!$I$15*B660/1000</f>
        <v>119.76882750000001</v>
      </c>
      <c r="N660" s="535">
        <f>CCBASE!$I$7*B660/1000</f>
        <v>47.313420000000008</v>
      </c>
      <c r="O660" s="535">
        <f>CCBASE!$I$45*B660/1000</f>
        <v>14.955000000000002</v>
      </c>
      <c r="P660" s="535">
        <f>CCBASE!$I$10</f>
        <v>30.661922000000001</v>
      </c>
      <c r="Q660" s="535">
        <f>CCBASE!$I$51</f>
        <v>2.9</v>
      </c>
      <c r="R660" s="535">
        <f>CCBASE!$I$4</f>
        <v>8.3986041999999994</v>
      </c>
      <c r="S660" s="535">
        <f>CCBASE!$I$8</f>
        <v>16.25526</v>
      </c>
      <c r="T660" s="534"/>
      <c r="U660" s="540">
        <f>CCBASE!$I$47</f>
        <v>14.41</v>
      </c>
      <c r="V660" s="534"/>
      <c r="W660" s="535">
        <f>CCBASE!$I$43*B660/1000</f>
        <v>132.93617999999998</v>
      </c>
      <c r="X660" s="535"/>
      <c r="Y660" s="535"/>
      <c r="Z660" s="535"/>
      <c r="AA660" s="535"/>
      <c r="AB660" s="535"/>
      <c r="AC660" s="535"/>
      <c r="AD660" s="554">
        <f>CCBASE!$I$35*2</f>
        <v>283.89648</v>
      </c>
      <c r="AI660" s="537"/>
      <c r="AJ660" s="537"/>
      <c r="AK660" s="538"/>
      <c r="AL660" s="538"/>
      <c r="AM660" s="538"/>
      <c r="AN660" s="538"/>
      <c r="AO660" s="538"/>
      <c r="AP660" s="538"/>
      <c r="AQ660" s="538"/>
      <c r="AR660" s="538"/>
      <c r="AS660" s="538"/>
    </row>
    <row r="661" spans="1:45" ht="17" customHeight="1" thickBot="1" x14ac:dyDescent="0.25">
      <c r="A661" s="561" t="s">
        <v>1068</v>
      </c>
      <c r="B661" s="533">
        <v>1750</v>
      </c>
      <c r="C661" s="533">
        <v>2000</v>
      </c>
      <c r="D661" s="553" t="str">
        <f t="shared" si="23"/>
        <v>UVX-M17502000</v>
      </c>
      <c r="E661" s="907">
        <f t="shared" si="24"/>
        <v>1761.7289488000001</v>
      </c>
      <c r="F661" s="534">
        <v>21</v>
      </c>
      <c r="G661" s="535">
        <f>F661*CCBASE!$B$51</f>
        <v>756</v>
      </c>
      <c r="H661" s="535">
        <f>CCBASE!$I$11*B661/1000</f>
        <v>281.73768385</v>
      </c>
      <c r="I661" s="535"/>
      <c r="J661" s="535"/>
      <c r="K661" s="535"/>
      <c r="L661" s="540"/>
      <c r="M661" s="535">
        <f>CCBASE!$I$15*B661/1000</f>
        <v>139.73029875</v>
      </c>
      <c r="N661" s="535">
        <f>CCBASE!$I$7*B661/1000</f>
        <v>55.198990000000002</v>
      </c>
      <c r="O661" s="535">
        <f>CCBASE!$I$45*B661/1000</f>
        <v>17.447500000000002</v>
      </c>
      <c r="P661" s="535">
        <f>CCBASE!$I$10</f>
        <v>30.661922000000001</v>
      </c>
      <c r="Q661" s="535">
        <f>CCBASE!$I$51</f>
        <v>2.9</v>
      </c>
      <c r="R661" s="535">
        <f>CCBASE!$I$4</f>
        <v>8.3986041999999994</v>
      </c>
      <c r="S661" s="535">
        <f>CCBASE!$I$8</f>
        <v>16.25526</v>
      </c>
      <c r="T661" s="534"/>
      <c r="U661" s="540">
        <f>CCBASE!$I$47</f>
        <v>14.41</v>
      </c>
      <c r="V661" s="534"/>
      <c r="W661" s="535">
        <f>CCBASE!$I$43*B661/1000</f>
        <v>155.09220999999999</v>
      </c>
      <c r="X661" s="535"/>
      <c r="Y661" s="535"/>
      <c r="Z661" s="535"/>
      <c r="AA661" s="535"/>
      <c r="AB661" s="535"/>
      <c r="AC661" s="535"/>
      <c r="AD661" s="554">
        <f>CCBASE!$I$35*2</f>
        <v>283.89648</v>
      </c>
      <c r="AI661" s="537"/>
      <c r="AJ661" s="537"/>
      <c r="AK661" s="538"/>
      <c r="AL661" s="538"/>
      <c r="AM661" s="538"/>
      <c r="AN661" s="538"/>
      <c r="AO661" s="538"/>
      <c r="AP661" s="538"/>
      <c r="AQ661" s="538"/>
      <c r="AR661" s="538"/>
      <c r="AS661" s="538"/>
    </row>
    <row r="662" spans="1:45" ht="17" customHeight="1" thickBot="1" x14ac:dyDescent="0.25">
      <c r="A662" s="561" t="s">
        <v>1068</v>
      </c>
      <c r="B662" s="533">
        <v>2000</v>
      </c>
      <c r="C662" s="533">
        <v>2000</v>
      </c>
      <c r="D662" s="553" t="str">
        <f t="shared" si="23"/>
        <v>UVX-M20002000</v>
      </c>
      <c r="E662" s="907">
        <f t="shared" si="24"/>
        <v>1863.5219608999996</v>
      </c>
      <c r="F662" s="534">
        <v>21</v>
      </c>
      <c r="G662" s="535">
        <f>F662*CCBASE!$B$51</f>
        <v>756</v>
      </c>
      <c r="H662" s="535">
        <f>CCBASE!$I$11*B662/1000</f>
        <v>321.98592439999999</v>
      </c>
      <c r="I662" s="535"/>
      <c r="J662" s="535"/>
      <c r="K662" s="535"/>
      <c r="L662" s="540"/>
      <c r="M662" s="535">
        <f>CCBASE!$I$15*B662/1000</f>
        <v>159.69177000000002</v>
      </c>
      <c r="N662" s="535">
        <f>CCBASE!$I$7*B662/1000</f>
        <v>63.084560000000003</v>
      </c>
      <c r="O662" s="535">
        <f>CCBASE!$I$45*B662/1000</f>
        <v>19.940000000000001</v>
      </c>
      <c r="P662" s="535">
        <f>CCBASE!$I$9</f>
        <v>39.7111223</v>
      </c>
      <c r="Q662" s="535">
        <f>CCBASE!$I$51</f>
        <v>2.9</v>
      </c>
      <c r="R662" s="535">
        <f>CCBASE!$I$4</f>
        <v>8.3986041999999994</v>
      </c>
      <c r="S662" s="535">
        <f>CCBASE!$I$8</f>
        <v>16.25526</v>
      </c>
      <c r="T662" s="534"/>
      <c r="U662" s="540">
        <f>CCBASE!$I$47</f>
        <v>14.41</v>
      </c>
      <c r="V662" s="534"/>
      <c r="W662" s="535">
        <f>CCBASE!$I$43*B662/1000</f>
        <v>177.24823999999998</v>
      </c>
      <c r="X662" s="535"/>
      <c r="Y662" s="535"/>
      <c r="Z662" s="535"/>
      <c r="AA662" s="535"/>
      <c r="AB662" s="535"/>
      <c r="AC662" s="535"/>
      <c r="AD662" s="554">
        <f>CCBASE!$I$35*2</f>
        <v>283.89648</v>
      </c>
      <c r="AI662" s="537"/>
      <c r="AJ662" s="537"/>
    </row>
    <row r="663" spans="1:45" ht="17" customHeight="1" thickBot="1" x14ac:dyDescent="0.25">
      <c r="A663" s="561" t="s">
        <v>1068</v>
      </c>
      <c r="B663" s="533">
        <v>2250</v>
      </c>
      <c r="C663" s="533">
        <v>2000</v>
      </c>
      <c r="D663" s="553" t="str">
        <f t="shared" si="23"/>
        <v>UVX-M22502000</v>
      </c>
      <c r="E663" s="907">
        <f t="shared" si="24"/>
        <v>2006.6757726999995</v>
      </c>
      <c r="F663" s="534">
        <v>22</v>
      </c>
      <c r="G663" s="535">
        <f>F663*CCBASE!$B$51</f>
        <v>792</v>
      </c>
      <c r="H663" s="535">
        <f>CCBASE!$I$11*B663/1000</f>
        <v>362.23416494999998</v>
      </c>
      <c r="I663" s="535"/>
      <c r="J663" s="535"/>
      <c r="K663" s="535"/>
      <c r="L663" s="540"/>
      <c r="M663" s="535">
        <f>CCBASE!$I$15*B663/1000</f>
        <v>179.65324125000001</v>
      </c>
      <c r="N663" s="535">
        <f>CCBASE!$I$7*B663/1000</f>
        <v>70.970130000000012</v>
      </c>
      <c r="O663" s="535">
        <f>CCBASE!$I$45*B663/1000</f>
        <v>22.432500000000001</v>
      </c>
      <c r="P663" s="535">
        <f>CCBASE!$I$9</f>
        <v>39.7111223</v>
      </c>
      <c r="Q663" s="535">
        <f>CCBASE!$I$51</f>
        <v>2.9</v>
      </c>
      <c r="R663" s="535">
        <f>CCBASE!$I$4</f>
        <v>8.3986041999999994</v>
      </c>
      <c r="S663" s="535">
        <f>CCBASE!$I$8</f>
        <v>16.25526</v>
      </c>
      <c r="T663" s="534"/>
      <c r="U663" s="540">
        <f>CCBASE!$I$47*2</f>
        <v>28.82</v>
      </c>
      <c r="V663" s="534"/>
      <c r="W663" s="535">
        <f>CCBASE!$I$43*B663/1000</f>
        <v>199.40427</v>
      </c>
      <c r="X663" s="535"/>
      <c r="Y663" s="535"/>
      <c r="Z663" s="535"/>
      <c r="AA663" s="535"/>
      <c r="AB663" s="535"/>
      <c r="AC663" s="535"/>
      <c r="AD663" s="554">
        <f>CCBASE!$I$35*2</f>
        <v>283.89648</v>
      </c>
      <c r="AI663" s="537"/>
      <c r="AJ663" s="537"/>
      <c r="AR663" s="538"/>
      <c r="AS663" s="538"/>
    </row>
    <row r="664" spans="1:45" ht="17" customHeight="1" thickBot="1" x14ac:dyDescent="0.25">
      <c r="A664" s="561" t="s">
        <v>1068</v>
      </c>
      <c r="B664" s="533">
        <v>2500</v>
      </c>
      <c r="C664" s="533">
        <v>2000</v>
      </c>
      <c r="D664" s="553" t="str">
        <f t="shared" si="23"/>
        <v>UVX-M25002000</v>
      </c>
      <c r="E664" s="907">
        <f t="shared" si="24"/>
        <v>2099.4195844999995</v>
      </c>
      <c r="F664" s="534">
        <v>22</v>
      </c>
      <c r="G664" s="535">
        <f>F664*CCBASE!$B$51</f>
        <v>792</v>
      </c>
      <c r="H664" s="535">
        <f>CCBASE!$I$11*B664/1000</f>
        <v>402.48240549999997</v>
      </c>
      <c r="I664" s="535"/>
      <c r="J664" s="535"/>
      <c r="K664" s="535"/>
      <c r="L664" s="540"/>
      <c r="M664" s="535">
        <f>CCBASE!$I$15*B664/1000</f>
        <v>199.61471250000002</v>
      </c>
      <c r="N664" s="535">
        <f>CCBASE!$I$7*B664/1000</f>
        <v>78.855699999999999</v>
      </c>
      <c r="O664" s="535">
        <f>CCBASE!$I$45*B664/1000</f>
        <v>24.925000000000001</v>
      </c>
      <c r="P664" s="535">
        <f>CCBASE!$I$9</f>
        <v>39.7111223</v>
      </c>
      <c r="Q664" s="535">
        <f>CCBASE!$I$51</f>
        <v>2.9</v>
      </c>
      <c r="R664" s="535">
        <f>CCBASE!$I$4</f>
        <v>8.3986041999999994</v>
      </c>
      <c r="S664" s="535">
        <f>CCBASE!$I$8</f>
        <v>16.25526</v>
      </c>
      <c r="T664" s="534"/>
      <c r="U664" s="540">
        <f>CCBASE!$I$47*2</f>
        <v>28.82</v>
      </c>
      <c r="V664" s="534"/>
      <c r="W664" s="535">
        <f>CCBASE!$I$43*B664/1000</f>
        <v>221.56029999999998</v>
      </c>
      <c r="X664" s="535"/>
      <c r="Y664" s="535"/>
      <c r="Z664" s="535"/>
      <c r="AA664" s="535"/>
      <c r="AB664" s="535"/>
      <c r="AC664" s="535"/>
      <c r="AD664" s="554">
        <f>CCBASE!$I$35*2</f>
        <v>283.89648</v>
      </c>
      <c r="AI664" s="537"/>
      <c r="AJ664" s="537"/>
      <c r="AR664" s="538"/>
      <c r="AS664" s="538"/>
    </row>
    <row r="665" spans="1:45" ht="17" customHeight="1" thickBot="1" x14ac:dyDescent="0.25">
      <c r="A665" s="561" t="s">
        <v>1068</v>
      </c>
      <c r="B665" s="533">
        <v>2750</v>
      </c>
      <c r="C665" s="533">
        <v>2000</v>
      </c>
      <c r="D665" s="553" t="str">
        <f t="shared" si="23"/>
        <v>UVX-M27502000</v>
      </c>
      <c r="E665" s="907">
        <f t="shared" si="24"/>
        <v>2228.1633962999995</v>
      </c>
      <c r="F665" s="534">
        <v>23</v>
      </c>
      <c r="G665" s="535">
        <f>F665*CCBASE!$B$51</f>
        <v>828</v>
      </c>
      <c r="H665" s="535">
        <f>CCBASE!$I$11*B665/1000</f>
        <v>442.73064604999996</v>
      </c>
      <c r="I665" s="535"/>
      <c r="J665" s="535"/>
      <c r="K665" s="535"/>
      <c r="L665" s="540"/>
      <c r="M665" s="535">
        <f>CCBASE!$I$15*B665/1000</f>
        <v>219.57618375000001</v>
      </c>
      <c r="N665" s="535">
        <f>CCBASE!$I$7*B665/1000</f>
        <v>86.74127</v>
      </c>
      <c r="O665" s="535">
        <f>CCBASE!$I$45*B665/1000</f>
        <v>27.4175</v>
      </c>
      <c r="P665" s="535">
        <f>CCBASE!$I$9</f>
        <v>39.7111223</v>
      </c>
      <c r="Q665" s="535">
        <f>CCBASE!$I$51</f>
        <v>2.9</v>
      </c>
      <c r="R665" s="535">
        <f>CCBASE!$I$4</f>
        <v>8.3986041999999994</v>
      </c>
      <c r="S665" s="535">
        <f>CCBASE!$I$8</f>
        <v>16.25526</v>
      </c>
      <c r="T665" s="534"/>
      <c r="U665" s="540">
        <f>CCBASE!$I$47*2</f>
        <v>28.82</v>
      </c>
      <c r="V665" s="534"/>
      <c r="W665" s="535">
        <f>CCBASE!$I$43*B665/1000</f>
        <v>243.71633</v>
      </c>
      <c r="X665" s="535"/>
      <c r="Y665" s="535"/>
      <c r="Z665" s="535"/>
      <c r="AA665" s="535"/>
      <c r="AB665" s="535"/>
      <c r="AC665" s="535"/>
      <c r="AD665" s="554">
        <f>CCBASE!$I$35*2</f>
        <v>283.89648</v>
      </c>
      <c r="AI665" s="537"/>
      <c r="AJ665" s="537"/>
      <c r="AK665" s="538"/>
      <c r="AL665" s="538"/>
      <c r="AM665" s="538"/>
      <c r="AN665" s="538"/>
      <c r="AO665" s="538"/>
      <c r="AP665" s="538"/>
      <c r="AQ665" s="538"/>
      <c r="AR665" s="538"/>
      <c r="AS665" s="538"/>
    </row>
    <row r="666" spans="1:45" ht="17" customHeight="1" thickBot="1" x14ac:dyDescent="0.25">
      <c r="A666" s="561" t="s">
        <v>1068</v>
      </c>
      <c r="B666" s="555">
        <v>3000</v>
      </c>
      <c r="C666" s="555">
        <v>2000</v>
      </c>
      <c r="D666" s="556" t="str">
        <f t="shared" si="23"/>
        <v>UVX-M30002000</v>
      </c>
      <c r="E666" s="907">
        <f t="shared" si="24"/>
        <v>2320.9072080999995</v>
      </c>
      <c r="F666" s="534">
        <v>23</v>
      </c>
      <c r="G666" s="557">
        <f>F666*CCBASE!$B$51</f>
        <v>828</v>
      </c>
      <c r="H666" s="557">
        <f>CCBASE!$I$11*B666/1000</f>
        <v>482.97888659999995</v>
      </c>
      <c r="I666" s="557"/>
      <c r="J666" s="557"/>
      <c r="K666" s="557"/>
      <c r="L666" s="558"/>
      <c r="M666" s="557">
        <f>CCBASE!$I$15*B666/1000</f>
        <v>239.53765500000003</v>
      </c>
      <c r="N666" s="557">
        <f>CCBASE!$I$7*B666/1000</f>
        <v>94.626840000000016</v>
      </c>
      <c r="O666" s="557">
        <f>CCBASE!$I$45*B666/1000</f>
        <v>29.910000000000004</v>
      </c>
      <c r="P666" s="557">
        <f>CCBASE!$I$9</f>
        <v>39.7111223</v>
      </c>
      <c r="Q666" s="557">
        <f>CCBASE!$I$51</f>
        <v>2.9</v>
      </c>
      <c r="R666" s="557">
        <f>CCBASE!$I$4</f>
        <v>8.3986041999999994</v>
      </c>
      <c r="S666" s="557">
        <f>CCBASE!$I$8</f>
        <v>16.25526</v>
      </c>
      <c r="T666" s="559"/>
      <c r="U666" s="558">
        <f>CCBASE!$I$47*2</f>
        <v>28.82</v>
      </c>
      <c r="V666" s="559"/>
      <c r="W666" s="557">
        <f>CCBASE!$I$43*B666/1000</f>
        <v>265.87235999999996</v>
      </c>
      <c r="X666" s="557"/>
      <c r="Y666" s="557"/>
      <c r="Z666" s="557"/>
      <c r="AA666" s="557"/>
      <c r="AB666" s="557"/>
      <c r="AC666" s="557"/>
      <c r="AD666" s="560">
        <f>CCBASE!$I$35*2</f>
        <v>283.89648</v>
      </c>
      <c r="AI666" s="537"/>
      <c r="AJ666" s="537"/>
      <c r="AK666" s="538"/>
      <c r="AL666" s="538"/>
      <c r="AM666" s="538"/>
      <c r="AN666" s="538"/>
      <c r="AO666" s="538"/>
      <c r="AP666" s="538"/>
      <c r="AQ666" s="538"/>
      <c r="AR666" s="538"/>
      <c r="AS666" s="538"/>
    </row>
    <row r="667" spans="1:45" x14ac:dyDescent="0.2">
      <c r="A667" s="562" t="s">
        <v>1089</v>
      </c>
      <c r="B667" s="533">
        <v>1500</v>
      </c>
      <c r="C667" s="533">
        <v>1000</v>
      </c>
      <c r="D667" s="553" t="str">
        <f t="shared" si="23"/>
        <v>UV-C POD15001000</v>
      </c>
      <c r="E667" s="907">
        <f t="shared" si="24"/>
        <v>1090</v>
      </c>
      <c r="F667" s="534">
        <v>20</v>
      </c>
      <c r="G667" s="535">
        <f>F667*CCBASE!$B$51</f>
        <v>720</v>
      </c>
      <c r="H667" s="535"/>
      <c r="I667" s="535">
        <v>320</v>
      </c>
      <c r="J667" s="535">
        <v>50</v>
      </c>
      <c r="K667" s="535"/>
      <c r="L667" s="540"/>
      <c r="M667" s="540"/>
      <c r="N667" s="540"/>
      <c r="O667" s="540"/>
      <c r="P667" s="540"/>
      <c r="Q667" s="540"/>
      <c r="R667" s="540"/>
      <c r="S667" s="540"/>
      <c r="T667" s="540"/>
      <c r="U667" s="540"/>
      <c r="V667" s="540"/>
      <c r="W667" s="540"/>
      <c r="X667" s="540"/>
      <c r="Y667" s="540"/>
      <c r="Z667" s="540"/>
      <c r="AA667" s="540"/>
      <c r="AB667" s="540"/>
      <c r="AC667" s="540"/>
      <c r="AD667" s="540"/>
      <c r="AI667" s="537"/>
      <c r="AJ667" s="537"/>
      <c r="AR667" s="538"/>
      <c r="AS667" s="538"/>
    </row>
    <row r="668" spans="1:45" x14ac:dyDescent="0.2">
      <c r="A668" s="562" t="s">
        <v>1089</v>
      </c>
      <c r="B668" s="533">
        <v>2000</v>
      </c>
      <c r="C668" s="533">
        <v>1000</v>
      </c>
      <c r="D668" s="553" t="str">
        <f t="shared" si="23"/>
        <v>UV-C POD20001000</v>
      </c>
      <c r="E668" s="907">
        <f t="shared" si="24"/>
        <v>1196</v>
      </c>
      <c r="F668" s="534">
        <v>20</v>
      </c>
      <c r="G668" s="535">
        <f>F668*CCBASE!$B$51</f>
        <v>720</v>
      </c>
      <c r="H668" s="535"/>
      <c r="I668" s="535">
        <v>426</v>
      </c>
      <c r="J668" s="535">
        <v>50</v>
      </c>
      <c r="K668" s="535"/>
      <c r="L668" s="540"/>
      <c r="M668" s="540"/>
      <c r="N668" s="540"/>
      <c r="O668" s="540"/>
      <c r="P668" s="540"/>
      <c r="Q668" s="540"/>
      <c r="R668" s="540"/>
      <c r="S668" s="540"/>
      <c r="T668" s="540"/>
      <c r="U668" s="540"/>
      <c r="V668" s="540"/>
      <c r="W668" s="540"/>
      <c r="X668" s="540"/>
      <c r="Y668" s="540"/>
      <c r="Z668" s="540"/>
      <c r="AA668" s="540"/>
      <c r="AB668" s="540"/>
      <c r="AC668" s="540"/>
      <c r="AD668" s="540"/>
      <c r="AI668" s="537"/>
      <c r="AJ668" s="537"/>
      <c r="AR668" s="538"/>
      <c r="AS668" s="538"/>
    </row>
    <row r="669" spans="1:45" x14ac:dyDescent="0.2">
      <c r="A669" s="562" t="s">
        <v>1089</v>
      </c>
      <c r="B669" s="533">
        <v>2500</v>
      </c>
      <c r="C669" s="533">
        <v>1000</v>
      </c>
      <c r="D669" s="553" t="str">
        <f t="shared" si="23"/>
        <v>UV-C POD25001000</v>
      </c>
      <c r="E669" s="907">
        <f t="shared" si="24"/>
        <v>1303</v>
      </c>
      <c r="F669" s="534">
        <v>20</v>
      </c>
      <c r="G669" s="535">
        <f>F669*CCBASE!$B$51</f>
        <v>720</v>
      </c>
      <c r="H669" s="535"/>
      <c r="I669" s="535">
        <v>533</v>
      </c>
      <c r="J669" s="535">
        <v>50</v>
      </c>
      <c r="K669" s="535"/>
      <c r="L669" s="540"/>
      <c r="M669" s="540"/>
      <c r="N669" s="540"/>
      <c r="O669" s="540"/>
      <c r="P669" s="540"/>
      <c r="Q669" s="540"/>
      <c r="R669" s="540"/>
      <c r="S669" s="540"/>
      <c r="T669" s="540"/>
      <c r="U669" s="540"/>
      <c r="V669" s="540"/>
      <c r="W669" s="540"/>
      <c r="X669" s="540"/>
      <c r="Y669" s="540"/>
      <c r="Z669" s="540"/>
      <c r="AA669" s="540"/>
      <c r="AB669" s="540"/>
      <c r="AC669" s="540"/>
      <c r="AD669" s="540"/>
      <c r="AI669" s="537"/>
      <c r="AJ669" s="537"/>
      <c r="AK669" s="538"/>
      <c r="AL669" s="538"/>
      <c r="AM669" s="538"/>
      <c r="AN669" s="538"/>
      <c r="AO669" s="538"/>
      <c r="AP669" s="538"/>
      <c r="AQ669" s="538"/>
      <c r="AR669" s="538"/>
      <c r="AS669" s="538"/>
    </row>
    <row r="670" spans="1:45" ht="17" customHeight="1" thickBot="1" x14ac:dyDescent="0.25">
      <c r="A670" s="562" t="s">
        <v>1089</v>
      </c>
      <c r="B670" s="555">
        <v>3000</v>
      </c>
      <c r="C670" s="555">
        <v>1000</v>
      </c>
      <c r="D670" s="556" t="str">
        <f t="shared" si="23"/>
        <v>UV-C POD30001000</v>
      </c>
      <c r="E670" s="907">
        <f t="shared" si="24"/>
        <v>1409</v>
      </c>
      <c r="F670" s="559">
        <v>20</v>
      </c>
      <c r="G670" s="557">
        <f>F670*CCBASE!$B$51</f>
        <v>720</v>
      </c>
      <c r="H670" s="557"/>
      <c r="I670" s="557">
        <v>639</v>
      </c>
      <c r="J670" s="557">
        <v>50</v>
      </c>
      <c r="K670" s="557"/>
      <c r="L670" s="540"/>
      <c r="M670" s="540"/>
      <c r="N670" s="540"/>
      <c r="O670" s="540"/>
      <c r="P670" s="540"/>
      <c r="Q670" s="540"/>
      <c r="R670" s="540"/>
      <c r="S670" s="540"/>
      <c r="T670" s="540"/>
      <c r="U670" s="540"/>
      <c r="V670" s="540"/>
      <c r="W670" s="540"/>
      <c r="X670" s="540"/>
      <c r="Y670" s="540"/>
      <c r="Z670" s="540"/>
      <c r="AA670" s="540"/>
      <c r="AB670" s="540"/>
      <c r="AC670" s="540"/>
      <c r="AD670" s="540"/>
      <c r="AI670" s="537"/>
      <c r="AJ670" s="537"/>
      <c r="AK670" s="538"/>
      <c r="AL670" s="538"/>
      <c r="AM670" s="538"/>
      <c r="AN670" s="538"/>
      <c r="AO670" s="538"/>
      <c r="AP670" s="538"/>
      <c r="AQ670" s="538"/>
      <c r="AR670" s="538"/>
      <c r="AS670" s="538"/>
    </row>
  </sheetData>
  <conditionalFormatting sqref="A2:D670">
    <cfRule type="cellIs" dxfId="1" priority="1" operator="greaterThan">
      <formula>0</formula>
    </cfRule>
  </conditionalFormatting>
  <conditionalFormatting sqref="F2:AD670">
    <cfRule type="cellIs" dxfId="0" priority="2" operator="greaterThan">
      <formula>0</formula>
    </cfRule>
  </conditionalFormatting>
  <pageMargins left="0.7" right="0.7" top="0.75" bottom="0.75" header="0.3" footer="0.3"/>
  <pageSetup paperSize="9" orientation="portrait" verticalDpi="0"/>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343" bestFit="1" customWidth="1"/>
    <col min="2" max="2" width="12.5" style="343" bestFit="1" customWidth="1"/>
    <col min="3" max="3" width="19.1640625" style="343" bestFit="1" customWidth="1"/>
    <col min="4" max="4" width="26.1640625" style="343" bestFit="1" customWidth="1"/>
    <col min="5" max="5" width="12.5" style="343" bestFit="1" customWidth="1"/>
    <col min="6" max="6" width="14" style="343" bestFit="1" customWidth="1"/>
    <col min="7" max="7" width="14.33203125" style="343" bestFit="1" customWidth="1"/>
    <col min="8" max="8" width="16.6640625" style="343" bestFit="1" customWidth="1"/>
    <col min="9" max="10" width="13.33203125" style="343" bestFit="1" customWidth="1"/>
    <col min="11" max="11" width="12.5" style="343" bestFit="1" customWidth="1"/>
    <col min="12" max="12" width="14.33203125" style="343" bestFit="1" customWidth="1"/>
    <col min="13" max="13" width="16.6640625" style="343" bestFit="1" customWidth="1"/>
    <col min="14" max="14" width="13.33203125" style="343" bestFit="1" customWidth="1"/>
    <col min="15" max="15" width="7.33203125" style="343" customWidth="1"/>
    <col min="16" max="16" width="29.1640625" style="343" customWidth="1"/>
    <col min="17" max="17" width="21.6640625" style="343" bestFit="1" customWidth="1"/>
    <col min="18" max="18" width="8.83203125" style="343" customWidth="1"/>
    <col min="19" max="16384" width="8.83203125" style="343"/>
  </cols>
  <sheetData>
    <row r="1" spans="1:17" ht="16" customHeight="1" x14ac:dyDescent="0.2">
      <c r="A1" s="360" t="s">
        <v>1308</v>
      </c>
      <c r="B1" s="361"/>
      <c r="C1" s="362"/>
      <c r="D1" s="361"/>
      <c r="E1" s="361"/>
      <c r="F1" s="362"/>
      <c r="G1" s="362"/>
      <c r="H1" s="362"/>
      <c r="I1" s="362"/>
      <c r="J1" s="345"/>
      <c r="K1" s="345"/>
      <c r="L1" s="345"/>
      <c r="M1" s="344"/>
      <c r="N1" s="344"/>
      <c r="O1" s="344"/>
      <c r="P1" s="344"/>
      <c r="Q1" s="344"/>
    </row>
    <row r="2" spans="1:17" x14ac:dyDescent="0.15">
      <c r="A2" s="347"/>
      <c r="B2" s="347"/>
      <c r="C2" s="347"/>
      <c r="D2" s="347"/>
      <c r="E2" s="347"/>
      <c r="F2" s="347"/>
      <c r="G2" s="347"/>
      <c r="H2" s="347"/>
      <c r="I2" s="347"/>
      <c r="J2" s="347"/>
      <c r="K2" s="347"/>
      <c r="L2" s="347"/>
      <c r="M2" s="346"/>
      <c r="N2" s="347"/>
      <c r="O2" s="347"/>
      <c r="P2" s="347"/>
      <c r="Q2" s="347"/>
    </row>
    <row r="3" spans="1:17" ht="14" customHeight="1" x14ac:dyDescent="0.15">
      <c r="A3" s="373"/>
      <c r="B3" s="371" t="s">
        <v>1309</v>
      </c>
      <c r="C3" s="374" t="s">
        <v>1310</v>
      </c>
      <c r="D3" s="371" t="s">
        <v>1311</v>
      </c>
      <c r="E3" s="374" t="s">
        <v>722</v>
      </c>
      <c r="F3" s="374" t="s">
        <v>1312</v>
      </c>
      <c r="G3" s="374" t="s">
        <v>1313</v>
      </c>
      <c r="H3" s="374" t="s">
        <v>1314</v>
      </c>
      <c r="I3" s="371" t="s">
        <v>45</v>
      </c>
      <c r="J3" s="345"/>
      <c r="K3" s="347"/>
      <c r="L3" s="347"/>
      <c r="M3" s="347"/>
    </row>
    <row r="4" spans="1:17" x14ac:dyDescent="0.15">
      <c r="A4" s="375" t="s">
        <v>1315</v>
      </c>
      <c r="B4" s="372" t="s">
        <v>1316</v>
      </c>
      <c r="C4" s="352">
        <f t="shared" ref="C4:C43" si="0">HLOOKUP(B4,$A$50:$N$51,2,FALSE)</f>
        <v>44.47</v>
      </c>
      <c r="D4" s="372">
        <v>0.14199999999999999</v>
      </c>
      <c r="E4" s="353">
        <f t="shared" ref="E4:E48" si="1">C4*D4</f>
        <v>6.3147399999999996</v>
      </c>
      <c r="F4" s="353">
        <f t="shared" ref="F4:F43" si="2">E4*$A$51</f>
        <v>2.0838641999999998</v>
      </c>
      <c r="G4" s="352"/>
      <c r="H4" s="352"/>
      <c r="I4" s="354">
        <f t="shared" ref="I4:I48" si="3">SUM(E4:H4)</f>
        <v>8.3986041999999994</v>
      </c>
      <c r="J4" s="355"/>
    </row>
    <row r="5" spans="1:17" x14ac:dyDescent="0.15">
      <c r="A5" s="375" t="s">
        <v>1317</v>
      </c>
      <c r="B5" s="358" t="s">
        <v>1316</v>
      </c>
      <c r="C5" s="352">
        <f t="shared" si="0"/>
        <v>44.47</v>
      </c>
      <c r="D5" s="358">
        <v>0.79300000000000004</v>
      </c>
      <c r="E5" s="353">
        <f t="shared" si="1"/>
        <v>35.264710000000001</v>
      </c>
      <c r="F5" s="353">
        <f t="shared" si="2"/>
        <v>11.6373543</v>
      </c>
      <c r="G5" s="352"/>
      <c r="H5" s="352"/>
      <c r="I5" s="354">
        <f t="shared" si="3"/>
        <v>46.902064299999999</v>
      </c>
      <c r="J5" s="355"/>
    </row>
    <row r="6" spans="1:17" x14ac:dyDescent="0.15">
      <c r="A6" s="375" t="s">
        <v>1318</v>
      </c>
      <c r="B6" s="358" t="s">
        <v>1316</v>
      </c>
      <c r="C6" s="352">
        <f t="shared" si="0"/>
        <v>44.47</v>
      </c>
      <c r="D6" s="358">
        <v>2.0499999999999998</v>
      </c>
      <c r="E6" s="353">
        <f t="shared" si="1"/>
        <v>91.163499999999985</v>
      </c>
      <c r="F6" s="353">
        <f t="shared" si="2"/>
        <v>30.083954999999996</v>
      </c>
      <c r="G6" s="352"/>
      <c r="H6" s="352"/>
      <c r="I6" s="354">
        <f t="shared" si="3"/>
        <v>121.24745499999997</v>
      </c>
      <c r="J6" s="355"/>
    </row>
    <row r="7" spans="1:17" x14ac:dyDescent="0.15">
      <c r="A7" s="375" t="s">
        <v>1319</v>
      </c>
      <c r="B7" s="358" t="s">
        <v>1320</v>
      </c>
      <c r="C7" s="690">
        <f t="shared" si="0"/>
        <v>30.8</v>
      </c>
      <c r="D7" s="358">
        <v>0.77</v>
      </c>
      <c r="E7" s="353">
        <f t="shared" si="1"/>
        <v>23.716000000000001</v>
      </c>
      <c r="F7" s="353">
        <f t="shared" si="2"/>
        <v>7.8262800000000006</v>
      </c>
      <c r="G7" s="352"/>
      <c r="H7" s="352"/>
      <c r="I7" s="354">
        <f t="shared" si="3"/>
        <v>31.542280000000002</v>
      </c>
      <c r="J7" s="355"/>
    </row>
    <row r="8" spans="1:17" x14ac:dyDescent="0.15">
      <c r="A8" s="375" t="s">
        <v>1321</v>
      </c>
      <c r="B8" s="358" t="s">
        <v>1322</v>
      </c>
      <c r="C8" s="352">
        <f t="shared" si="0"/>
        <v>40.74</v>
      </c>
      <c r="D8" s="358">
        <v>0.3</v>
      </c>
      <c r="E8" s="353">
        <f t="shared" si="1"/>
        <v>12.222</v>
      </c>
      <c r="F8" s="353">
        <f t="shared" si="2"/>
        <v>4.0332600000000003</v>
      </c>
      <c r="G8" s="352"/>
      <c r="H8" s="352"/>
      <c r="I8" s="354">
        <f t="shared" si="3"/>
        <v>16.25526</v>
      </c>
      <c r="J8" s="351"/>
    </row>
    <row r="9" spans="1:17" x14ac:dyDescent="0.15">
      <c r="A9" s="375" t="s">
        <v>1323</v>
      </c>
      <c r="B9" s="358" t="s">
        <v>1316</v>
      </c>
      <c r="C9" s="352">
        <f t="shared" si="0"/>
        <v>44.47</v>
      </c>
      <c r="D9" s="358">
        <v>0.373</v>
      </c>
      <c r="E9" s="356">
        <f t="shared" si="1"/>
        <v>16.587309999999999</v>
      </c>
      <c r="F9" s="356">
        <f t="shared" si="2"/>
        <v>5.4738122999999996</v>
      </c>
      <c r="G9" s="352">
        <f>$C$51</f>
        <v>12.19</v>
      </c>
      <c r="H9" s="352">
        <f>$D$51</f>
        <v>5.46</v>
      </c>
      <c r="I9" s="354">
        <f t="shared" si="3"/>
        <v>39.7111223</v>
      </c>
      <c r="J9" s="355"/>
    </row>
    <row r="10" spans="1:17" x14ac:dyDescent="0.15">
      <c r="A10" s="375" t="s">
        <v>1324</v>
      </c>
      <c r="B10" s="358" t="s">
        <v>1316</v>
      </c>
      <c r="C10" s="352">
        <f t="shared" si="0"/>
        <v>44.47</v>
      </c>
      <c r="D10" s="358">
        <v>0.22</v>
      </c>
      <c r="E10" s="356">
        <f t="shared" si="1"/>
        <v>9.7834000000000003</v>
      </c>
      <c r="F10" s="356">
        <f t="shared" si="2"/>
        <v>3.2285220000000003</v>
      </c>
      <c r="G10" s="352">
        <f>$C$51</f>
        <v>12.19</v>
      </c>
      <c r="H10" s="352">
        <f>$D$51</f>
        <v>5.46</v>
      </c>
      <c r="I10" s="354">
        <f t="shared" si="3"/>
        <v>30.661922000000001</v>
      </c>
      <c r="J10" s="351"/>
    </row>
    <row r="11" spans="1:17" x14ac:dyDescent="0.15">
      <c r="A11" s="375" t="s">
        <v>1325</v>
      </c>
      <c r="B11" s="358" t="s">
        <v>1316</v>
      </c>
      <c r="C11" s="352">
        <f t="shared" si="0"/>
        <v>44.47</v>
      </c>
      <c r="D11" s="358">
        <v>2.722</v>
      </c>
      <c r="E11" s="352">
        <f t="shared" si="1"/>
        <v>121.04733999999999</v>
      </c>
      <c r="F11" s="352">
        <f t="shared" si="2"/>
        <v>39.945622200000003</v>
      </c>
      <c r="G11" s="352"/>
      <c r="H11" s="352"/>
      <c r="I11" s="354">
        <f t="shared" si="3"/>
        <v>160.99296219999999</v>
      </c>
      <c r="J11" s="351"/>
    </row>
    <row r="12" spans="1:17" x14ac:dyDescent="0.15">
      <c r="A12" s="375" t="s">
        <v>1326</v>
      </c>
      <c r="B12" s="358" t="s">
        <v>1316</v>
      </c>
      <c r="C12" s="352">
        <f t="shared" si="0"/>
        <v>44.47</v>
      </c>
      <c r="D12" s="358">
        <v>2.0230000000000001</v>
      </c>
      <c r="E12" s="352">
        <f t="shared" si="1"/>
        <v>89.962810000000005</v>
      </c>
      <c r="F12" s="352">
        <f t="shared" si="2"/>
        <v>29.687727300000002</v>
      </c>
      <c r="G12" s="352"/>
      <c r="H12" s="352"/>
      <c r="I12" s="354">
        <f t="shared" si="3"/>
        <v>119.65053730000001</v>
      </c>
      <c r="J12" s="355"/>
    </row>
    <row r="13" spans="1:17" x14ac:dyDescent="0.15">
      <c r="A13" s="375" t="s">
        <v>1327</v>
      </c>
      <c r="B13" s="358" t="s">
        <v>1316</v>
      </c>
      <c r="C13" s="352">
        <f t="shared" si="0"/>
        <v>44.47</v>
      </c>
      <c r="D13" s="358">
        <v>4.05</v>
      </c>
      <c r="E13" s="352">
        <f t="shared" si="1"/>
        <v>180.1035</v>
      </c>
      <c r="F13" s="352">
        <f t="shared" si="2"/>
        <v>59.434155000000004</v>
      </c>
      <c r="G13" s="352"/>
      <c r="H13" s="352"/>
      <c r="I13" s="354">
        <f t="shared" si="3"/>
        <v>239.537655</v>
      </c>
      <c r="J13" s="355"/>
    </row>
    <row r="14" spans="1:17" x14ac:dyDescent="0.15">
      <c r="A14" s="375" t="s">
        <v>1328</v>
      </c>
      <c r="B14" s="358" t="s">
        <v>1316</v>
      </c>
      <c r="C14" s="352">
        <f t="shared" si="0"/>
        <v>44.47</v>
      </c>
      <c r="D14" s="358">
        <v>3.54</v>
      </c>
      <c r="E14" s="352">
        <f t="shared" si="1"/>
        <v>157.4238</v>
      </c>
      <c r="F14" s="352">
        <f t="shared" si="2"/>
        <v>51.949854000000002</v>
      </c>
      <c r="G14" s="352"/>
      <c r="H14" s="352"/>
      <c r="I14" s="354">
        <f t="shared" si="3"/>
        <v>209.37365399999999</v>
      </c>
      <c r="J14" s="355"/>
    </row>
    <row r="15" spans="1:17" x14ac:dyDescent="0.15">
      <c r="A15" s="375" t="s">
        <v>1329</v>
      </c>
      <c r="B15" s="358" t="s">
        <v>1316</v>
      </c>
      <c r="C15" s="352">
        <f t="shared" si="0"/>
        <v>44.47</v>
      </c>
      <c r="D15" s="358">
        <v>1.35</v>
      </c>
      <c r="E15" s="352">
        <f t="shared" si="1"/>
        <v>60.034500000000001</v>
      </c>
      <c r="F15" s="352">
        <f t="shared" si="2"/>
        <v>19.811385000000001</v>
      </c>
      <c r="G15" s="352"/>
      <c r="H15" s="352"/>
      <c r="I15" s="354">
        <f t="shared" si="3"/>
        <v>79.84588500000001</v>
      </c>
      <c r="J15" s="355"/>
      <c r="K15" s="355"/>
    </row>
    <row r="16" spans="1:17" x14ac:dyDescent="0.15">
      <c r="A16" s="375" t="s">
        <v>1330</v>
      </c>
      <c r="B16" s="358" t="s">
        <v>1316</v>
      </c>
      <c r="C16" s="352">
        <f t="shared" si="0"/>
        <v>44.47</v>
      </c>
      <c r="D16" s="358">
        <v>1.3357000000000001</v>
      </c>
      <c r="E16" s="352">
        <f t="shared" si="1"/>
        <v>59.398579000000005</v>
      </c>
      <c r="F16" s="352">
        <f t="shared" si="2"/>
        <v>19.601531070000004</v>
      </c>
      <c r="G16" s="352"/>
      <c r="H16" s="352"/>
      <c r="I16" s="354">
        <f t="shared" si="3"/>
        <v>79.000110070000005</v>
      </c>
      <c r="J16" s="355"/>
    </row>
    <row r="17" spans="1:17" x14ac:dyDescent="0.15">
      <c r="A17" s="375" t="s">
        <v>1331</v>
      </c>
      <c r="B17" s="358" t="s">
        <v>1316</v>
      </c>
      <c r="C17" s="352">
        <f t="shared" si="0"/>
        <v>44.47</v>
      </c>
      <c r="D17" s="358">
        <v>1.669</v>
      </c>
      <c r="E17" s="352">
        <f t="shared" si="1"/>
        <v>74.220429999999993</v>
      </c>
      <c r="F17" s="352">
        <f t="shared" si="2"/>
        <v>24.492741899999999</v>
      </c>
      <c r="G17" s="352"/>
      <c r="H17" s="352"/>
      <c r="I17" s="354">
        <f t="shared" si="3"/>
        <v>98.713171899999992</v>
      </c>
      <c r="J17" s="355"/>
    </row>
    <row r="18" spans="1:17" x14ac:dyDescent="0.15">
      <c r="A18" s="375" t="s">
        <v>1332</v>
      </c>
      <c r="B18" s="358" t="s">
        <v>1316</v>
      </c>
      <c r="C18" s="352">
        <f t="shared" si="0"/>
        <v>44.47</v>
      </c>
      <c r="D18" s="358">
        <v>2.57</v>
      </c>
      <c r="E18" s="352">
        <f t="shared" si="1"/>
        <v>114.28789999999999</v>
      </c>
      <c r="F18" s="352">
        <f t="shared" si="2"/>
        <v>37.715007</v>
      </c>
      <c r="G18" s="352"/>
      <c r="H18" s="352"/>
      <c r="I18" s="354">
        <f t="shared" si="3"/>
        <v>152.00290699999999</v>
      </c>
      <c r="J18" s="355"/>
    </row>
    <row r="19" spans="1:17" x14ac:dyDescent="0.15">
      <c r="A19" s="375" t="s">
        <v>1333</v>
      </c>
      <c r="B19" s="358" t="s">
        <v>1316</v>
      </c>
      <c r="C19" s="352">
        <f t="shared" si="0"/>
        <v>44.47</v>
      </c>
      <c r="D19" s="358">
        <v>2.8</v>
      </c>
      <c r="E19" s="352">
        <f t="shared" si="1"/>
        <v>124.51599999999999</v>
      </c>
      <c r="F19" s="352">
        <f t="shared" si="2"/>
        <v>41.09028</v>
      </c>
      <c r="G19" s="352"/>
      <c r="H19" s="352"/>
      <c r="I19" s="354">
        <f t="shared" si="3"/>
        <v>165.60628</v>
      </c>
      <c r="J19" s="355"/>
    </row>
    <row r="20" spans="1:17" x14ac:dyDescent="0.15">
      <c r="A20" s="375" t="s">
        <v>1334</v>
      </c>
      <c r="B20" s="358" t="s">
        <v>1316</v>
      </c>
      <c r="C20" s="352">
        <f t="shared" si="0"/>
        <v>44.47</v>
      </c>
      <c r="D20" s="358">
        <v>1.4650000000000001</v>
      </c>
      <c r="E20" s="352">
        <f t="shared" si="1"/>
        <v>65.14855</v>
      </c>
      <c r="F20" s="352">
        <f t="shared" si="2"/>
        <v>21.499021500000001</v>
      </c>
      <c r="G20" s="352"/>
      <c r="H20" s="352"/>
      <c r="I20" s="354">
        <f t="shared" si="3"/>
        <v>86.647571499999998</v>
      </c>
      <c r="J20" s="355"/>
    </row>
    <row r="21" spans="1:17" x14ac:dyDescent="0.15">
      <c r="A21" s="375" t="s">
        <v>1335</v>
      </c>
      <c r="B21" s="358" t="s">
        <v>1316</v>
      </c>
      <c r="C21" s="352">
        <f t="shared" si="0"/>
        <v>44.47</v>
      </c>
      <c r="D21" s="358">
        <v>3.7</v>
      </c>
      <c r="E21" s="352">
        <f t="shared" si="1"/>
        <v>164.53900000000002</v>
      </c>
      <c r="F21" s="352">
        <f t="shared" si="2"/>
        <v>54.29787000000001</v>
      </c>
      <c r="G21" s="352"/>
      <c r="H21" s="352"/>
      <c r="I21" s="354">
        <f t="shared" si="3"/>
        <v>218.83687000000003</v>
      </c>
      <c r="J21" s="355"/>
      <c r="N21" s="344"/>
      <c r="O21" s="344"/>
      <c r="P21" s="344"/>
      <c r="Q21" s="344"/>
    </row>
    <row r="22" spans="1:17" x14ac:dyDescent="0.15">
      <c r="A22" s="375" t="s">
        <v>1336</v>
      </c>
      <c r="B22" s="358" t="s">
        <v>1316</v>
      </c>
      <c r="C22" s="352">
        <f t="shared" si="0"/>
        <v>44.47</v>
      </c>
      <c r="D22" s="358">
        <v>4.2</v>
      </c>
      <c r="E22" s="352">
        <f t="shared" si="1"/>
        <v>186.774</v>
      </c>
      <c r="F22" s="352">
        <f t="shared" si="2"/>
        <v>61.635420000000003</v>
      </c>
      <c r="G22" s="352"/>
      <c r="H22" s="352"/>
      <c r="I22" s="354">
        <f t="shared" si="3"/>
        <v>248.40942000000001</v>
      </c>
      <c r="J22" s="355"/>
      <c r="K22" s="689"/>
      <c r="M22" s="344"/>
      <c r="N22" s="344"/>
      <c r="O22" s="344"/>
      <c r="P22" s="344"/>
      <c r="Q22" s="344"/>
    </row>
    <row r="23" spans="1:17" x14ac:dyDescent="0.15">
      <c r="A23" s="375" t="s">
        <v>1337</v>
      </c>
      <c r="B23" s="358" t="s">
        <v>1316</v>
      </c>
      <c r="C23" s="352">
        <f t="shared" si="0"/>
        <v>44.47</v>
      </c>
      <c r="D23" s="358">
        <v>4.8499999999999996</v>
      </c>
      <c r="E23" s="352">
        <f t="shared" si="1"/>
        <v>215.67949999999999</v>
      </c>
      <c r="F23" s="352">
        <f t="shared" si="2"/>
        <v>71.174234999999996</v>
      </c>
      <c r="G23" s="352"/>
      <c r="H23" s="352"/>
      <c r="I23" s="354">
        <f t="shared" si="3"/>
        <v>286.85373499999997</v>
      </c>
      <c r="J23" s="355"/>
      <c r="M23" s="344"/>
      <c r="N23" s="344"/>
      <c r="O23" s="344"/>
      <c r="P23" s="344"/>
      <c r="Q23" s="344"/>
    </row>
    <row r="24" spans="1:17" x14ac:dyDescent="0.15">
      <c r="A24" s="375" t="s">
        <v>1338</v>
      </c>
      <c r="B24" s="358" t="s">
        <v>1316</v>
      </c>
      <c r="C24" s="352">
        <f t="shared" si="0"/>
        <v>44.47</v>
      </c>
      <c r="D24" s="358">
        <v>7</v>
      </c>
      <c r="E24" s="352">
        <f t="shared" si="1"/>
        <v>311.28999999999996</v>
      </c>
      <c r="F24" s="352">
        <f t="shared" si="2"/>
        <v>102.72569999999999</v>
      </c>
      <c r="G24" s="352"/>
      <c r="H24" s="352"/>
      <c r="I24" s="354">
        <f t="shared" si="3"/>
        <v>414.01569999999992</v>
      </c>
      <c r="J24" s="355"/>
      <c r="M24" s="344"/>
      <c r="N24" s="344"/>
      <c r="O24" s="344"/>
      <c r="P24" s="344"/>
      <c r="Q24" s="344"/>
    </row>
    <row r="25" spans="1:17" x14ac:dyDescent="0.15">
      <c r="A25" s="375" t="s">
        <v>1339</v>
      </c>
      <c r="B25" s="358" t="s">
        <v>1316</v>
      </c>
      <c r="C25" s="352">
        <f t="shared" si="0"/>
        <v>44.47</v>
      </c>
      <c r="D25" s="358">
        <v>7.75</v>
      </c>
      <c r="E25" s="352">
        <f t="shared" si="1"/>
        <v>344.64249999999998</v>
      </c>
      <c r="F25" s="352">
        <f t="shared" si="2"/>
        <v>113.73202499999999</v>
      </c>
      <c r="G25" s="352"/>
      <c r="H25" s="352"/>
      <c r="I25" s="354">
        <f t="shared" si="3"/>
        <v>458.37452499999995</v>
      </c>
      <c r="J25" s="355"/>
      <c r="M25" s="344"/>
      <c r="N25" s="344"/>
      <c r="O25" s="344"/>
      <c r="P25" s="344"/>
      <c r="Q25" s="344"/>
    </row>
    <row r="26" spans="1:17" x14ac:dyDescent="0.15">
      <c r="A26" s="375" t="s">
        <v>1340</v>
      </c>
      <c r="B26" s="358" t="s">
        <v>1316</v>
      </c>
      <c r="C26" s="352">
        <f t="shared" si="0"/>
        <v>44.47</v>
      </c>
      <c r="D26" s="358">
        <v>4.5</v>
      </c>
      <c r="E26" s="352">
        <f t="shared" si="1"/>
        <v>200.11500000000001</v>
      </c>
      <c r="F26" s="352">
        <f t="shared" si="2"/>
        <v>66.037950000000009</v>
      </c>
      <c r="G26" s="352"/>
      <c r="H26" s="352"/>
      <c r="I26" s="354">
        <f t="shared" si="3"/>
        <v>266.15295000000003</v>
      </c>
      <c r="J26" s="355"/>
      <c r="M26" s="344"/>
      <c r="N26" s="344"/>
      <c r="O26" s="344"/>
      <c r="P26" s="344"/>
      <c r="Q26" s="344"/>
    </row>
    <row r="27" spans="1:17" x14ac:dyDescent="0.15">
      <c r="A27" s="375" t="s">
        <v>1341</v>
      </c>
      <c r="B27" s="358" t="s">
        <v>1316</v>
      </c>
      <c r="C27" s="352">
        <f t="shared" si="0"/>
        <v>44.47</v>
      </c>
      <c r="D27" s="358">
        <v>5.6</v>
      </c>
      <c r="E27" s="352">
        <f t="shared" si="1"/>
        <v>249.03199999999998</v>
      </c>
      <c r="F27" s="352">
        <f t="shared" si="2"/>
        <v>82.18056</v>
      </c>
      <c r="G27" s="352"/>
      <c r="H27" s="352"/>
      <c r="I27" s="354">
        <f t="shared" si="3"/>
        <v>331.21256</v>
      </c>
      <c r="J27" s="355"/>
      <c r="M27" s="344"/>
      <c r="N27" s="344"/>
      <c r="O27" s="344"/>
      <c r="P27" s="344"/>
      <c r="Q27" s="344"/>
    </row>
    <row r="28" spans="1:17" x14ac:dyDescent="0.15">
      <c r="A28" s="375" t="s">
        <v>1342</v>
      </c>
      <c r="B28" s="358" t="s">
        <v>1316</v>
      </c>
      <c r="C28" s="352">
        <f t="shared" si="0"/>
        <v>44.47</v>
      </c>
      <c r="D28" s="358">
        <v>6.75</v>
      </c>
      <c r="E28" s="352">
        <f t="shared" si="1"/>
        <v>300.17250000000001</v>
      </c>
      <c r="F28" s="352">
        <f t="shared" si="2"/>
        <v>99.056925000000007</v>
      </c>
      <c r="G28" s="352"/>
      <c r="H28" s="352"/>
      <c r="I28" s="354">
        <f t="shared" si="3"/>
        <v>399.22942499999999</v>
      </c>
      <c r="J28" s="355"/>
      <c r="M28" s="344"/>
      <c r="N28" s="344"/>
      <c r="O28" s="344"/>
      <c r="P28" s="344"/>
      <c r="Q28" s="344"/>
    </row>
    <row r="29" spans="1:17" x14ac:dyDescent="0.15">
      <c r="A29" s="375" t="s">
        <v>1343</v>
      </c>
      <c r="B29" s="358" t="s">
        <v>1316</v>
      </c>
      <c r="C29" s="352">
        <f t="shared" si="0"/>
        <v>44.47</v>
      </c>
      <c r="D29" s="358">
        <v>7.88</v>
      </c>
      <c r="E29" s="352">
        <f t="shared" si="1"/>
        <v>350.42359999999996</v>
      </c>
      <c r="F29" s="352">
        <f t="shared" si="2"/>
        <v>115.639788</v>
      </c>
      <c r="G29" s="352"/>
      <c r="H29" s="352"/>
      <c r="I29" s="354">
        <f t="shared" si="3"/>
        <v>466.06338799999997</v>
      </c>
      <c r="J29" s="355"/>
      <c r="M29" s="344"/>
      <c r="N29" s="344"/>
      <c r="O29" s="344"/>
      <c r="P29" s="344"/>
      <c r="Q29" s="344"/>
    </row>
    <row r="30" spans="1:17" x14ac:dyDescent="0.15">
      <c r="A30" s="375" t="s">
        <v>1344</v>
      </c>
      <c r="B30" s="358" t="s">
        <v>1316</v>
      </c>
      <c r="C30" s="352">
        <f t="shared" si="0"/>
        <v>44.47</v>
      </c>
      <c r="D30" s="358">
        <v>9</v>
      </c>
      <c r="E30" s="352">
        <f t="shared" si="1"/>
        <v>400.23</v>
      </c>
      <c r="F30" s="352">
        <f t="shared" si="2"/>
        <v>132.07590000000002</v>
      </c>
      <c r="G30" s="352"/>
      <c r="H30" s="352"/>
      <c r="I30" s="354">
        <f t="shared" si="3"/>
        <v>532.30590000000007</v>
      </c>
      <c r="J30" s="355"/>
      <c r="M30" s="344"/>
      <c r="N30" s="344"/>
      <c r="O30" s="344"/>
      <c r="P30" s="344"/>
      <c r="Q30" s="344"/>
    </row>
    <row r="31" spans="1:17" x14ac:dyDescent="0.15">
      <c r="A31" s="375" t="s">
        <v>1345</v>
      </c>
      <c r="B31" s="358" t="s">
        <v>1316</v>
      </c>
      <c r="C31" s="352">
        <f t="shared" si="0"/>
        <v>44.47</v>
      </c>
      <c r="D31" s="358">
        <v>0.75</v>
      </c>
      <c r="E31" s="352">
        <f t="shared" si="1"/>
        <v>33.352499999999999</v>
      </c>
      <c r="F31" s="352">
        <f t="shared" si="2"/>
        <v>11.006325</v>
      </c>
      <c r="G31" s="352"/>
      <c r="H31" s="352"/>
      <c r="I31" s="354">
        <f t="shared" si="3"/>
        <v>44.358824999999996</v>
      </c>
      <c r="J31" s="355"/>
      <c r="M31" s="344"/>
      <c r="N31" s="344"/>
      <c r="O31" s="344"/>
      <c r="P31" s="344"/>
      <c r="Q31" s="344"/>
    </row>
    <row r="32" spans="1:17" x14ac:dyDescent="0.15">
      <c r="A32" s="375" t="s">
        <v>1346</v>
      </c>
      <c r="B32" s="358" t="s">
        <v>1316</v>
      </c>
      <c r="C32" s="352">
        <f t="shared" si="0"/>
        <v>44.47</v>
      </c>
      <c r="D32" s="358">
        <v>0.92</v>
      </c>
      <c r="E32" s="352">
        <f t="shared" si="1"/>
        <v>40.912399999999998</v>
      </c>
      <c r="F32" s="352">
        <f t="shared" si="2"/>
        <v>13.501092</v>
      </c>
      <c r="G32" s="352"/>
      <c r="H32" s="352"/>
      <c r="I32" s="354">
        <f t="shared" si="3"/>
        <v>54.413491999999998</v>
      </c>
      <c r="J32" s="355"/>
      <c r="M32" s="344"/>
      <c r="N32" s="344"/>
      <c r="O32" s="344"/>
      <c r="P32" s="344"/>
      <c r="Q32" s="344"/>
    </row>
    <row r="33" spans="1:17" x14ac:dyDescent="0.15">
      <c r="A33" s="375" t="s">
        <v>1347</v>
      </c>
      <c r="B33" s="358" t="s">
        <v>1316</v>
      </c>
      <c r="C33" s="352">
        <f t="shared" si="0"/>
        <v>44.47</v>
      </c>
      <c r="D33" s="358">
        <v>1.1499999999999999</v>
      </c>
      <c r="E33" s="352">
        <f t="shared" si="1"/>
        <v>51.140499999999996</v>
      </c>
      <c r="F33" s="352">
        <f t="shared" si="2"/>
        <v>16.876365</v>
      </c>
      <c r="G33" s="352"/>
      <c r="H33" s="352"/>
      <c r="I33" s="354">
        <f t="shared" si="3"/>
        <v>68.016864999999996</v>
      </c>
      <c r="J33" s="355"/>
      <c r="K33" s="355"/>
      <c r="L33" s="355"/>
      <c r="M33" s="344"/>
      <c r="N33" s="344"/>
      <c r="O33" s="344"/>
      <c r="P33" s="344"/>
      <c r="Q33" s="344"/>
    </row>
    <row r="34" spans="1:17" x14ac:dyDescent="0.15">
      <c r="A34" s="375" t="s">
        <v>1348</v>
      </c>
      <c r="B34" s="358" t="s">
        <v>1316</v>
      </c>
      <c r="C34" s="352">
        <f t="shared" si="0"/>
        <v>44.47</v>
      </c>
      <c r="D34" s="358">
        <v>1.77</v>
      </c>
      <c r="E34" s="352">
        <f t="shared" si="1"/>
        <v>78.7119</v>
      </c>
      <c r="F34" s="352">
        <f t="shared" si="2"/>
        <v>25.974927000000001</v>
      </c>
      <c r="G34" s="352"/>
      <c r="H34" s="352"/>
      <c r="I34" s="354">
        <f t="shared" si="3"/>
        <v>104.68682699999999</v>
      </c>
      <c r="J34" s="355"/>
      <c r="K34" s="355"/>
      <c r="L34" s="355"/>
      <c r="M34" s="344"/>
      <c r="N34" s="344"/>
      <c r="O34" s="344"/>
      <c r="P34" s="344"/>
      <c r="Q34" s="344"/>
    </row>
    <row r="35" spans="1:17" x14ac:dyDescent="0.15">
      <c r="A35" s="375" t="s">
        <v>1349</v>
      </c>
      <c r="B35" s="358" t="s">
        <v>1316</v>
      </c>
      <c r="C35" s="352">
        <f t="shared" si="0"/>
        <v>44.47</v>
      </c>
      <c r="D35" s="358">
        <v>2.4</v>
      </c>
      <c r="E35" s="352">
        <f t="shared" si="1"/>
        <v>106.72799999999999</v>
      </c>
      <c r="F35" s="352">
        <f t="shared" si="2"/>
        <v>35.220239999999997</v>
      </c>
      <c r="G35" s="352"/>
      <c r="H35" s="352"/>
      <c r="I35" s="354">
        <f t="shared" si="3"/>
        <v>141.94824</v>
      </c>
      <c r="J35" s="355"/>
      <c r="K35" s="355"/>
      <c r="L35" s="355"/>
      <c r="M35" s="344"/>
      <c r="N35" s="344"/>
      <c r="O35" s="344"/>
      <c r="P35" s="357"/>
      <c r="Q35" s="348"/>
    </row>
    <row r="36" spans="1:17" x14ac:dyDescent="0.15">
      <c r="A36" s="375" t="s">
        <v>1350</v>
      </c>
      <c r="B36" s="358" t="s">
        <v>1316</v>
      </c>
      <c r="C36" s="352">
        <f t="shared" si="0"/>
        <v>44.47</v>
      </c>
      <c r="D36" s="358">
        <v>1.62</v>
      </c>
      <c r="E36" s="352">
        <f t="shared" si="1"/>
        <v>72.041399999999996</v>
      </c>
      <c r="F36" s="352">
        <f t="shared" si="2"/>
        <v>23.773661999999998</v>
      </c>
      <c r="G36" s="352"/>
      <c r="H36" s="352"/>
      <c r="I36" s="354">
        <f t="shared" si="3"/>
        <v>95.815061999999998</v>
      </c>
      <c r="J36" s="355"/>
      <c r="K36" s="355"/>
      <c r="L36" s="355"/>
      <c r="M36" s="344"/>
      <c r="N36" s="344"/>
      <c r="O36" s="344"/>
      <c r="P36" s="357"/>
      <c r="Q36" s="348"/>
    </row>
    <row r="37" spans="1:17" x14ac:dyDescent="0.15">
      <c r="A37" s="375" t="s">
        <v>1351</v>
      </c>
      <c r="B37" s="358" t="s">
        <v>1316</v>
      </c>
      <c r="C37" s="352">
        <f t="shared" si="0"/>
        <v>44.47</v>
      </c>
      <c r="D37" s="358">
        <v>2.0299999999999998</v>
      </c>
      <c r="E37" s="352">
        <f t="shared" si="1"/>
        <v>90.27409999999999</v>
      </c>
      <c r="F37" s="352">
        <f t="shared" si="2"/>
        <v>29.790452999999999</v>
      </c>
      <c r="G37" s="352"/>
      <c r="H37" s="352"/>
      <c r="I37" s="354">
        <f t="shared" si="3"/>
        <v>120.06455299999999</v>
      </c>
      <c r="J37" s="355"/>
      <c r="K37" s="355"/>
      <c r="L37" s="355"/>
      <c r="M37" s="344"/>
      <c r="N37" s="344"/>
      <c r="O37" s="344"/>
      <c r="P37" s="357"/>
      <c r="Q37" s="348"/>
    </row>
    <row r="38" spans="1:17" x14ac:dyDescent="0.15">
      <c r="A38" s="375" t="s">
        <v>1352</v>
      </c>
      <c r="B38" s="358" t="s">
        <v>1316</v>
      </c>
      <c r="C38" s="352">
        <f t="shared" si="0"/>
        <v>44.47</v>
      </c>
      <c r="D38" s="358">
        <v>2.2999999999999998</v>
      </c>
      <c r="E38" s="352">
        <f t="shared" si="1"/>
        <v>102.28099999999999</v>
      </c>
      <c r="F38" s="352">
        <f t="shared" si="2"/>
        <v>33.75273</v>
      </c>
      <c r="G38" s="352"/>
      <c r="H38" s="352"/>
      <c r="I38" s="354">
        <f t="shared" si="3"/>
        <v>136.03372999999999</v>
      </c>
      <c r="J38" s="355"/>
      <c r="K38" s="355"/>
    </row>
    <row r="39" spans="1:17" x14ac:dyDescent="0.15">
      <c r="A39" s="375" t="s">
        <v>1353</v>
      </c>
      <c r="B39" s="358" t="s">
        <v>1316</v>
      </c>
      <c r="C39" s="352">
        <f t="shared" si="0"/>
        <v>44.47</v>
      </c>
      <c r="D39" s="358">
        <v>2.63</v>
      </c>
      <c r="E39" s="352">
        <f t="shared" si="1"/>
        <v>116.95609999999999</v>
      </c>
      <c r="F39" s="352">
        <f t="shared" si="2"/>
        <v>38.595512999999997</v>
      </c>
      <c r="G39" s="352"/>
      <c r="H39" s="352"/>
      <c r="I39" s="354">
        <f t="shared" si="3"/>
        <v>155.55161299999997</v>
      </c>
      <c r="J39" s="355"/>
      <c r="K39" s="355"/>
    </row>
    <row r="40" spans="1:17" x14ac:dyDescent="0.15">
      <c r="A40" s="375" t="s">
        <v>1354</v>
      </c>
      <c r="B40" s="358" t="s">
        <v>1316</v>
      </c>
      <c r="C40" s="352">
        <f t="shared" si="0"/>
        <v>44.47</v>
      </c>
      <c r="D40" s="358">
        <v>0.4</v>
      </c>
      <c r="E40" s="352">
        <f t="shared" si="1"/>
        <v>17.788</v>
      </c>
      <c r="F40" s="352">
        <f t="shared" si="2"/>
        <v>5.8700400000000004</v>
      </c>
      <c r="G40" s="352">
        <f>$C$51</f>
        <v>12.19</v>
      </c>
      <c r="H40" s="352">
        <f>$D$51</f>
        <v>5.46</v>
      </c>
      <c r="I40" s="354">
        <f t="shared" si="3"/>
        <v>41.308039999999998</v>
      </c>
      <c r="J40" s="355"/>
      <c r="K40" s="355"/>
    </row>
    <row r="41" spans="1:17" x14ac:dyDescent="0.15">
      <c r="A41" s="375" t="s">
        <v>1355</v>
      </c>
      <c r="B41" s="358" t="s">
        <v>1316</v>
      </c>
      <c r="C41" s="352">
        <f t="shared" si="0"/>
        <v>44.47</v>
      </c>
      <c r="D41" s="358">
        <v>0.7</v>
      </c>
      <c r="E41" s="352">
        <f t="shared" si="1"/>
        <v>31.128999999999998</v>
      </c>
      <c r="F41" s="352">
        <f t="shared" si="2"/>
        <v>10.27257</v>
      </c>
      <c r="G41" s="352">
        <f>$C$51</f>
        <v>12.19</v>
      </c>
      <c r="H41" s="352">
        <f>$D$51</f>
        <v>5.46</v>
      </c>
      <c r="I41" s="354">
        <f t="shared" si="3"/>
        <v>59.051569999999998</v>
      </c>
      <c r="J41" s="355"/>
      <c r="K41" s="355"/>
    </row>
    <row r="42" spans="1:17" x14ac:dyDescent="0.15">
      <c r="A42" s="375" t="s">
        <v>1356</v>
      </c>
      <c r="B42" s="358" t="s">
        <v>1316</v>
      </c>
      <c r="C42" s="352">
        <f t="shared" si="0"/>
        <v>44.47</v>
      </c>
      <c r="D42" s="358">
        <v>0.9</v>
      </c>
      <c r="E42" s="352">
        <f t="shared" si="1"/>
        <v>40.023000000000003</v>
      </c>
      <c r="F42" s="352">
        <f t="shared" si="2"/>
        <v>13.207590000000001</v>
      </c>
      <c r="G42" s="352">
        <f>$C$51</f>
        <v>12.19</v>
      </c>
      <c r="H42" s="352">
        <f>$D$51</f>
        <v>5.46</v>
      </c>
      <c r="I42" s="354">
        <f t="shared" si="3"/>
        <v>70.880589999999998</v>
      </c>
      <c r="J42" s="355"/>
      <c r="K42" s="355"/>
    </row>
    <row r="43" spans="1:17" x14ac:dyDescent="0.15">
      <c r="A43" s="375" t="s">
        <v>1357</v>
      </c>
      <c r="B43" s="358" t="s">
        <v>1316</v>
      </c>
      <c r="C43" s="352">
        <f t="shared" si="0"/>
        <v>44.47</v>
      </c>
      <c r="D43" s="358">
        <v>1.2</v>
      </c>
      <c r="E43" s="352">
        <f t="shared" si="1"/>
        <v>53.363999999999997</v>
      </c>
      <c r="F43" s="352">
        <f t="shared" si="2"/>
        <v>17.610119999999998</v>
      </c>
      <c r="G43" s="352">
        <f>$C$51</f>
        <v>12.19</v>
      </c>
      <c r="H43" s="352">
        <f>$D$51</f>
        <v>5.46</v>
      </c>
      <c r="I43" s="354">
        <f t="shared" si="3"/>
        <v>88.624119999999991</v>
      </c>
      <c r="J43" s="355"/>
      <c r="K43" s="355"/>
    </row>
    <row r="44" spans="1:17" x14ac:dyDescent="0.15">
      <c r="A44" s="375" t="s">
        <v>1298</v>
      </c>
      <c r="B44" s="358" t="s">
        <v>1358</v>
      </c>
      <c r="C44" s="352">
        <f>+F51</f>
        <v>94.69</v>
      </c>
      <c r="D44" s="358">
        <v>1</v>
      </c>
      <c r="E44" s="352">
        <f t="shared" si="1"/>
        <v>94.69</v>
      </c>
      <c r="F44" s="352"/>
      <c r="G44" s="352"/>
      <c r="H44" s="352"/>
      <c r="I44" s="354">
        <f t="shared" si="3"/>
        <v>94.69</v>
      </c>
      <c r="J44" s="355"/>
      <c r="K44" s="355"/>
      <c r="L44" s="809"/>
    </row>
    <row r="45" spans="1:17" x14ac:dyDescent="0.15">
      <c r="A45" s="375" t="s">
        <v>1359</v>
      </c>
      <c r="B45" s="358" t="s">
        <v>1360</v>
      </c>
      <c r="C45" s="352">
        <f>HLOOKUP(B45,$A$50:$N$51,2,FALSE)</f>
        <v>9.9700000000000006</v>
      </c>
      <c r="D45" s="358">
        <v>1</v>
      </c>
      <c r="E45" s="352">
        <f t="shared" si="1"/>
        <v>9.9700000000000006</v>
      </c>
      <c r="F45" s="352"/>
      <c r="G45" s="352"/>
      <c r="H45" s="352"/>
      <c r="I45" s="354">
        <f t="shared" si="3"/>
        <v>9.9700000000000006</v>
      </c>
      <c r="J45" s="355"/>
      <c r="K45" s="355"/>
    </row>
    <row r="46" spans="1:17" x14ac:dyDescent="0.15">
      <c r="A46" s="375" t="s">
        <v>1361</v>
      </c>
      <c r="B46" s="358" t="s">
        <v>1361</v>
      </c>
      <c r="C46" s="352">
        <f>HLOOKUP(B46,$A$50:$N$51,2,FALSE)</f>
        <v>2.44</v>
      </c>
      <c r="D46" s="358">
        <v>1</v>
      </c>
      <c r="E46" s="352">
        <f t="shared" si="1"/>
        <v>2.44</v>
      </c>
      <c r="F46" s="352"/>
      <c r="G46" s="352"/>
      <c r="H46" s="352"/>
      <c r="I46" s="354">
        <f t="shared" si="3"/>
        <v>2.44</v>
      </c>
      <c r="J46" s="355"/>
      <c r="K46" s="355"/>
    </row>
    <row r="47" spans="1:17" x14ac:dyDescent="0.15">
      <c r="A47" s="375" t="s">
        <v>1299</v>
      </c>
      <c r="B47" s="358" t="s">
        <v>1299</v>
      </c>
      <c r="C47" s="352">
        <f>HLOOKUP(B47,$A$50:$N$51,2,FALSE)</f>
        <v>14.41</v>
      </c>
      <c r="D47" s="358">
        <v>1</v>
      </c>
      <c r="E47" s="352">
        <f t="shared" si="1"/>
        <v>14.41</v>
      </c>
      <c r="F47" s="352"/>
      <c r="G47" s="352"/>
      <c r="H47" s="352"/>
      <c r="I47" s="354">
        <f t="shared" si="3"/>
        <v>14.41</v>
      </c>
      <c r="J47" s="355"/>
      <c r="K47" s="355"/>
    </row>
    <row r="48" spans="1:17" x14ac:dyDescent="0.15">
      <c r="A48" s="375" t="s">
        <v>1362</v>
      </c>
      <c r="B48" s="358" t="s">
        <v>1316</v>
      </c>
      <c r="C48" s="352">
        <f>HLOOKUP(B48,$A$50:$N$51,2,FALSE)</f>
        <v>44.47</v>
      </c>
      <c r="D48" s="358">
        <v>3.4510000000000001</v>
      </c>
      <c r="E48" s="352">
        <f t="shared" si="1"/>
        <v>153.46597</v>
      </c>
      <c r="F48" s="352"/>
      <c r="G48" s="352"/>
      <c r="H48" s="352"/>
      <c r="I48" s="354">
        <f t="shared" si="3"/>
        <v>153.46597</v>
      </c>
      <c r="J48" s="355"/>
      <c r="K48" s="355"/>
    </row>
    <row r="49" spans="1:17" x14ac:dyDescent="0.15">
      <c r="A49" s="349"/>
      <c r="B49" s="346"/>
      <c r="C49" s="350"/>
      <c r="D49" s="350"/>
      <c r="E49" s="350"/>
      <c r="F49" s="350"/>
      <c r="G49" s="350"/>
      <c r="H49" s="350"/>
      <c r="J49" s="355"/>
      <c r="K49" s="355"/>
    </row>
    <row r="50" spans="1:17" ht="15" customHeight="1" thickBot="1" x14ac:dyDescent="0.2">
      <c r="A50" s="371" t="s">
        <v>1363</v>
      </c>
      <c r="B50" s="371" t="s">
        <v>1287</v>
      </c>
      <c r="C50" s="371" t="s">
        <v>1364</v>
      </c>
      <c r="D50" s="371" t="s">
        <v>1365</v>
      </c>
      <c r="E50" s="371" t="s">
        <v>1361</v>
      </c>
      <c r="F50" s="371" t="s">
        <v>1366</v>
      </c>
      <c r="G50" s="371" t="s">
        <v>1299</v>
      </c>
      <c r="H50" s="371" t="s">
        <v>1367</v>
      </c>
      <c r="I50" s="371" t="s">
        <v>1368</v>
      </c>
      <c r="J50" s="371" t="s">
        <v>1322</v>
      </c>
      <c r="K50" s="371" t="s">
        <v>1316</v>
      </c>
      <c r="L50" s="371" t="s">
        <v>1320</v>
      </c>
      <c r="M50" s="371" t="s">
        <v>1369</v>
      </c>
      <c r="N50" s="371" t="s">
        <v>1360</v>
      </c>
      <c r="P50" s="708"/>
    </row>
    <row r="51" spans="1:17" ht="14" customHeight="1" thickBot="1" x14ac:dyDescent="0.2">
      <c r="A51" s="812">
        <v>0.33</v>
      </c>
      <c r="B51" s="792">
        <v>36</v>
      </c>
      <c r="C51" s="792">
        <v>12.19</v>
      </c>
      <c r="D51" s="792">
        <v>5.46</v>
      </c>
      <c r="E51" s="792">
        <v>2.44</v>
      </c>
      <c r="F51" s="903">
        <v>94.69</v>
      </c>
      <c r="G51" s="792">
        <v>14.41</v>
      </c>
      <c r="H51" s="792">
        <v>5.16</v>
      </c>
      <c r="I51" s="792">
        <v>2.9</v>
      </c>
      <c r="J51" s="813">
        <v>40.74</v>
      </c>
      <c r="K51" s="813">
        <v>44.47</v>
      </c>
      <c r="L51" s="813">
        <v>30.8</v>
      </c>
      <c r="M51" s="813">
        <v>38.9</v>
      </c>
      <c r="N51" s="813">
        <v>9.9700000000000006</v>
      </c>
      <c r="O51" s="481"/>
      <c r="P51" s="479" t="s">
        <v>16</v>
      </c>
      <c r="Q51" s="478"/>
    </row>
    <row r="52" spans="1:17" x14ac:dyDescent="0.15">
      <c r="P52" s="708"/>
    </row>
    <row r="53" spans="1:17" x14ac:dyDescent="0.15">
      <c r="A53" s="370" t="s">
        <v>67</v>
      </c>
      <c r="B53" s="359">
        <v>0</v>
      </c>
      <c r="C53" s="363">
        <v>0</v>
      </c>
      <c r="D53" s="359" t="str">
        <f>""</f>
        <v/>
      </c>
      <c r="I53" s="367"/>
      <c r="J53" s="346"/>
      <c r="K53" s="346"/>
      <c r="L53" s="346"/>
      <c r="M53" s="346"/>
      <c r="N53" s="346"/>
      <c r="O53" s="346"/>
    </row>
    <row r="54" spans="1:17" x14ac:dyDescent="0.15">
      <c r="A54" s="370" t="s">
        <v>119</v>
      </c>
      <c r="B54" s="792">
        <v>63.6</v>
      </c>
      <c r="C54" s="364">
        <v>4</v>
      </c>
      <c r="D54" s="359" t="s">
        <v>1370</v>
      </c>
      <c r="F54" s="707"/>
      <c r="I54" s="350"/>
      <c r="J54" s="366"/>
      <c r="K54" s="351"/>
      <c r="N54" s="368"/>
      <c r="O54" s="368"/>
    </row>
    <row r="55" spans="1:17" x14ac:dyDescent="0.15">
      <c r="A55" s="370" t="s">
        <v>120</v>
      </c>
      <c r="B55" s="792">
        <v>170</v>
      </c>
      <c r="C55" s="364">
        <v>5</v>
      </c>
      <c r="D55" s="359" t="s">
        <v>1371</v>
      </c>
      <c r="J55" s="366"/>
      <c r="K55" s="351"/>
      <c r="N55" s="368"/>
      <c r="O55" s="368"/>
    </row>
    <row r="56" spans="1:17" x14ac:dyDescent="0.15">
      <c r="A56" s="370" t="s">
        <v>121</v>
      </c>
      <c r="B56" s="792">
        <v>1043</v>
      </c>
      <c r="C56" s="363">
        <v>8</v>
      </c>
      <c r="D56" s="359" t="s">
        <v>1372</v>
      </c>
      <c r="J56" s="366"/>
      <c r="K56" s="351"/>
      <c r="N56" s="368"/>
      <c r="O56" s="368"/>
    </row>
    <row r="57" spans="1:17" x14ac:dyDescent="0.15">
      <c r="A57" s="370" t="s">
        <v>122</v>
      </c>
      <c r="B57" s="792">
        <v>398</v>
      </c>
      <c r="C57" s="364">
        <v>4</v>
      </c>
      <c r="D57" s="359" t="s">
        <v>1373</v>
      </c>
      <c r="J57" s="366"/>
      <c r="K57" s="351"/>
      <c r="N57" s="368"/>
      <c r="O57" s="368"/>
    </row>
    <row r="58" spans="1:17" x14ac:dyDescent="0.15">
      <c r="A58" s="370" t="s">
        <v>1374</v>
      </c>
      <c r="B58" s="792">
        <v>0</v>
      </c>
      <c r="C58" s="364">
        <v>0</v>
      </c>
      <c r="D58" s="359" t="s">
        <v>1373</v>
      </c>
      <c r="G58" s="344">
        <v>2020</v>
      </c>
      <c r="H58" s="773" t="s">
        <v>1375</v>
      </c>
      <c r="I58" s="773" t="s">
        <v>1376</v>
      </c>
      <c r="J58" s="780">
        <v>44652</v>
      </c>
      <c r="K58" s="811" t="s">
        <v>1377</v>
      </c>
      <c r="L58" s="904" t="s">
        <v>1378</v>
      </c>
    </row>
    <row r="59" spans="1:17" x14ac:dyDescent="0.15">
      <c r="A59" s="370" t="s">
        <v>124</v>
      </c>
      <c r="B59" s="792">
        <v>0</v>
      </c>
      <c r="C59" s="364">
        <v>0</v>
      </c>
      <c r="D59" s="359" t="s">
        <v>1379</v>
      </c>
      <c r="F59" s="343" t="s">
        <v>1380</v>
      </c>
      <c r="G59" s="775" t="s">
        <v>1381</v>
      </c>
      <c r="H59" s="774">
        <v>24.52</v>
      </c>
      <c r="I59" s="774">
        <v>25.26</v>
      </c>
      <c r="J59" s="343">
        <v>35.36</v>
      </c>
      <c r="K59" s="810">
        <v>38.9</v>
      </c>
    </row>
    <row r="60" spans="1:17" x14ac:dyDescent="0.15">
      <c r="A60" s="370" t="s">
        <v>125</v>
      </c>
      <c r="B60" s="792">
        <v>257</v>
      </c>
      <c r="C60" s="364">
        <v>0</v>
      </c>
      <c r="D60" s="359" t="str">
        <f>""</f>
        <v/>
      </c>
      <c r="F60" s="343" t="s">
        <v>1322</v>
      </c>
      <c r="G60" s="344" t="s">
        <v>1382</v>
      </c>
      <c r="H60" s="774">
        <v>25.69</v>
      </c>
      <c r="I60" s="774">
        <v>26.46</v>
      </c>
      <c r="J60" s="343">
        <v>37.04</v>
      </c>
      <c r="K60" s="810">
        <v>40.74</v>
      </c>
    </row>
    <row r="61" spans="1:17" x14ac:dyDescent="0.15">
      <c r="A61" s="370" t="s">
        <v>126</v>
      </c>
      <c r="B61" s="792">
        <v>0</v>
      </c>
      <c r="C61" s="364">
        <v>0</v>
      </c>
      <c r="D61" s="359" t="s">
        <v>1383</v>
      </c>
      <c r="F61" s="343" t="s">
        <v>1316</v>
      </c>
      <c r="G61" s="344" t="s">
        <v>1384</v>
      </c>
      <c r="H61" s="774">
        <v>28.04</v>
      </c>
      <c r="I61" s="774">
        <v>28.88</v>
      </c>
      <c r="J61" s="343">
        <v>40.43</v>
      </c>
      <c r="K61" s="810">
        <v>44.47</v>
      </c>
    </row>
    <row r="62" spans="1:17" x14ac:dyDescent="0.15">
      <c r="A62" s="370" t="s">
        <v>127</v>
      </c>
      <c r="B62" s="792">
        <v>0</v>
      </c>
      <c r="C62" s="364">
        <v>0</v>
      </c>
      <c r="D62" s="359" t="str">
        <f>""</f>
        <v/>
      </c>
      <c r="F62" s="343" t="s">
        <v>1385</v>
      </c>
      <c r="H62" s="774">
        <v>24.5</v>
      </c>
      <c r="I62" s="774">
        <v>25.24</v>
      </c>
      <c r="K62" s="810">
        <v>30.8</v>
      </c>
      <c r="M62" s="480"/>
    </row>
    <row r="63" spans="1:17" x14ac:dyDescent="0.15">
      <c r="A63" s="370" t="s">
        <v>128</v>
      </c>
      <c r="B63" s="792">
        <v>0</v>
      </c>
      <c r="C63" s="364">
        <v>0</v>
      </c>
      <c r="D63" s="359" t="s">
        <v>1386</v>
      </c>
    </row>
    <row r="64" spans="1:17" x14ac:dyDescent="0.15">
      <c r="A64" s="370" t="s">
        <v>129</v>
      </c>
      <c r="B64" s="792">
        <v>543</v>
      </c>
      <c r="C64" s="364">
        <v>0</v>
      </c>
      <c r="D64" s="359" t="s">
        <v>1383</v>
      </c>
      <c r="I64" s="350"/>
      <c r="J64" s="366"/>
      <c r="K64" s="351"/>
      <c r="N64" s="368"/>
      <c r="O64" s="368"/>
    </row>
    <row r="65" spans="1:15" x14ac:dyDescent="0.15">
      <c r="A65" s="370" t="s">
        <v>1098</v>
      </c>
      <c r="B65" s="792">
        <v>1590</v>
      </c>
      <c r="C65" s="364">
        <v>0</v>
      </c>
      <c r="D65" s="359" t="s">
        <v>1387</v>
      </c>
      <c r="J65" s="366"/>
      <c r="K65" s="351"/>
      <c r="N65" s="368"/>
      <c r="O65" s="368"/>
    </row>
    <row r="66" spans="1:15" x14ac:dyDescent="0.15">
      <c r="A66" s="370" t="s">
        <v>131</v>
      </c>
      <c r="B66" s="792">
        <v>0</v>
      </c>
      <c r="C66" s="364">
        <v>1</v>
      </c>
      <c r="D66" s="359" t="s">
        <v>1388</v>
      </c>
      <c r="J66" s="366"/>
      <c r="K66" s="351"/>
      <c r="N66" s="368"/>
      <c r="O66" s="368"/>
    </row>
    <row r="67" spans="1:15" x14ac:dyDescent="0.15">
      <c r="A67" s="370" t="s">
        <v>69</v>
      </c>
      <c r="B67" s="792">
        <v>50</v>
      </c>
      <c r="C67" s="364">
        <v>1</v>
      </c>
      <c r="D67" s="359" t="s">
        <v>1372</v>
      </c>
      <c r="J67" s="366"/>
      <c r="K67" s="351"/>
      <c r="N67" s="368"/>
      <c r="O67" s="368"/>
    </row>
    <row r="68" spans="1:15" x14ac:dyDescent="0.15">
      <c r="A68" s="370" t="s">
        <v>1389</v>
      </c>
      <c r="B68" s="792">
        <v>449</v>
      </c>
      <c r="C68" s="364">
        <v>1</v>
      </c>
      <c r="D68" s="359" t="s">
        <v>1390</v>
      </c>
    </row>
    <row r="69" spans="1:15" x14ac:dyDescent="0.15">
      <c r="A69" s="370" t="s">
        <v>133</v>
      </c>
      <c r="B69" s="792">
        <v>402</v>
      </c>
      <c r="C69" s="364">
        <v>1</v>
      </c>
      <c r="D69" s="359" t="s">
        <v>1391</v>
      </c>
    </row>
    <row r="70" spans="1:15" x14ac:dyDescent="0.15">
      <c r="A70" s="370" t="s">
        <v>134</v>
      </c>
      <c r="B70" s="792">
        <v>288</v>
      </c>
      <c r="C70" s="364">
        <v>4</v>
      </c>
      <c r="D70" s="359" t="s">
        <v>545</v>
      </c>
    </row>
    <row r="71" spans="1:15" x14ac:dyDescent="0.15">
      <c r="A71" s="370" t="s">
        <v>135</v>
      </c>
      <c r="B71" s="902">
        <v>80</v>
      </c>
      <c r="C71" s="364">
        <v>1</v>
      </c>
      <c r="D71" s="359" t="s">
        <v>1392</v>
      </c>
    </row>
    <row r="72" spans="1:15" x14ac:dyDescent="0.15">
      <c r="A72" s="370"/>
      <c r="B72" s="359">
        <v>0</v>
      </c>
      <c r="C72" s="364">
        <v>0</v>
      </c>
      <c r="D72" s="359" t="str">
        <f>""</f>
        <v/>
      </c>
    </row>
    <row r="73" spans="1:15" x14ac:dyDescent="0.15">
      <c r="A73" s="370"/>
      <c r="B73" s="359">
        <v>0</v>
      </c>
      <c r="C73" s="364">
        <v>0</v>
      </c>
      <c r="D73" s="359" t="str">
        <f>""</f>
        <v/>
      </c>
    </row>
    <row r="81" spans="1:4" x14ac:dyDescent="0.15">
      <c r="A81" s="370" t="s">
        <v>84</v>
      </c>
      <c r="B81" s="778">
        <v>0</v>
      </c>
      <c r="C81" s="363">
        <v>0</v>
      </c>
      <c r="D81" s="905" t="s">
        <v>1378</v>
      </c>
    </row>
    <row r="82" spans="1:4" x14ac:dyDescent="0.15">
      <c r="A82" s="370" t="str">
        <f>CC!D569</f>
        <v>CP1S</v>
      </c>
      <c r="B82" s="906">
        <v>3957.74</v>
      </c>
      <c r="C82" s="363">
        <v>6</v>
      </c>
    </row>
    <row r="83" spans="1:4" x14ac:dyDescent="0.15">
      <c r="A83" s="370" t="str">
        <f>CC!D570</f>
        <v>CP2S</v>
      </c>
      <c r="B83" s="906">
        <v>4249.6000000000004</v>
      </c>
      <c r="C83" s="363">
        <v>6</v>
      </c>
    </row>
    <row r="84" spans="1:4" x14ac:dyDescent="0.15">
      <c r="A84" s="370" t="str">
        <f>CC!D571</f>
        <v>CP3S</v>
      </c>
      <c r="B84" s="906">
        <v>4541.45</v>
      </c>
      <c r="C84" s="363">
        <v>6</v>
      </c>
    </row>
    <row r="85" spans="1:4" x14ac:dyDescent="0.15">
      <c r="A85" s="370" t="str">
        <f>CC!D572</f>
        <v>CP4S</v>
      </c>
      <c r="B85" s="906">
        <v>4611.6099999999997</v>
      </c>
      <c r="C85" s="363">
        <v>6</v>
      </c>
    </row>
    <row r="86" spans="1:4" x14ac:dyDescent="0.15">
      <c r="A86" s="691" t="s">
        <v>1393</v>
      </c>
      <c r="B86" s="904">
        <v>3640.4</v>
      </c>
    </row>
    <row r="87" spans="1:4" x14ac:dyDescent="0.15">
      <c r="A87" s="691" t="s">
        <v>1394</v>
      </c>
      <c r="B87" s="904">
        <v>3841.58</v>
      </c>
    </row>
    <row r="88" spans="1:4" x14ac:dyDescent="0.15">
      <c r="A88" s="691" t="s">
        <v>1395</v>
      </c>
      <c r="B88" s="904">
        <v>4077.12</v>
      </c>
    </row>
    <row r="89" spans="1:4" x14ac:dyDescent="0.15">
      <c r="A89" s="691" t="s">
        <v>1396</v>
      </c>
      <c r="B89" s="904">
        <v>4313.3900000000003</v>
      </c>
    </row>
  </sheetData>
  <dataValidations count="1">
    <dataValidation type="list" allowBlank="1" showInputMessage="1" showErrorMessage="1" sqref="B4:B48" xr:uid="{00000000-0002-0000-AB00-000000000000}">
      <formula1>$A$50:$N$50</formula1>
    </dataValidation>
  </dataValidations>
  <pageMargins left="0.7" right="0.7" top="0.75" bottom="0.75" header="0.3" footer="0.3"/>
  <pageSetup paperSize="8" scale="66" orientation="landscape"/>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B8"/>
  <sheetViews>
    <sheetView workbookViewId="0"/>
  </sheetViews>
  <sheetFormatPr baseColWidth="10" defaultColWidth="8.83203125" defaultRowHeight="13" x14ac:dyDescent="0.15"/>
  <sheetData>
    <row r="1" spans="1:2" x14ac:dyDescent="0.15">
      <c r="A1" t="s">
        <v>6</v>
      </c>
      <c r="B1" t="s">
        <v>1397</v>
      </c>
    </row>
    <row r="2" spans="1:2" x14ac:dyDescent="0.15">
      <c r="A2" t="s">
        <v>1398</v>
      </c>
      <c r="B2" t="s">
        <v>7</v>
      </c>
    </row>
    <row r="3" spans="1:2" x14ac:dyDescent="0.15">
      <c r="A3" t="s">
        <v>1399</v>
      </c>
      <c r="B3" t="s">
        <v>1400</v>
      </c>
    </row>
    <row r="4" spans="1:2" x14ac:dyDescent="0.15">
      <c r="A4" t="s">
        <v>1401</v>
      </c>
      <c r="B4" t="s">
        <v>1402</v>
      </c>
    </row>
    <row r="5" spans="1:2" x14ac:dyDescent="0.15">
      <c r="A5" t="s">
        <v>1403</v>
      </c>
      <c r="B5" t="s">
        <v>1404</v>
      </c>
    </row>
    <row r="6" spans="1:2" x14ac:dyDescent="0.15">
      <c r="A6" t="s">
        <v>1405</v>
      </c>
      <c r="B6" t="s">
        <v>1406</v>
      </c>
    </row>
    <row r="7" spans="1:2" x14ac:dyDescent="0.15">
      <c r="A7" t="s">
        <v>1407</v>
      </c>
      <c r="B7" t="s">
        <v>90</v>
      </c>
    </row>
    <row r="8" spans="1:2" x14ac:dyDescent="0.15">
      <c r="A8" t="s">
        <v>1408</v>
      </c>
    </row>
  </sheetData>
  <pageMargins left="0.75" right="0.75" top="1" bottom="1" header="0.5" footer="0.5"/>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H19"/>
  <sheetViews>
    <sheetView workbookViewId="0"/>
  </sheetViews>
  <sheetFormatPr baseColWidth="10" defaultColWidth="8.83203125" defaultRowHeight="13" x14ac:dyDescent="0.15"/>
  <sheetData>
    <row r="1" spans="1:8" x14ac:dyDescent="0.15">
      <c r="A1" t="s">
        <v>1409</v>
      </c>
      <c r="B1" t="s">
        <v>1410</v>
      </c>
      <c r="C1" t="s">
        <v>1411</v>
      </c>
      <c r="D1" t="s">
        <v>1412</v>
      </c>
      <c r="E1" t="s">
        <v>1413</v>
      </c>
      <c r="F1" t="s">
        <v>1414</v>
      </c>
      <c r="H1" t="s">
        <v>1415</v>
      </c>
    </row>
    <row r="2" spans="1:8" x14ac:dyDescent="0.15">
      <c r="A2" t="s">
        <v>1416</v>
      </c>
      <c r="B2" t="s">
        <v>1417</v>
      </c>
      <c r="C2">
        <f>IFERROR('CANOPY - Ground Floor (1)'!N9,0)</f>
        <v>9733.3138645235376</v>
      </c>
      <c r="D2">
        <f>IFERROR('CANOPY - Ground Floor (1)'!K9,0)</f>
        <v>5775.3603498999992</v>
      </c>
      <c r="E2" t="s">
        <v>1418</v>
      </c>
      <c r="F2" t="s">
        <v>1419</v>
      </c>
      <c r="H2" t="s">
        <v>1420</v>
      </c>
    </row>
    <row r="3" spans="1:8" x14ac:dyDescent="0.15">
      <c r="A3" t="s">
        <v>1421</v>
      </c>
      <c r="B3" t="s">
        <v>1422</v>
      </c>
      <c r="C3">
        <f>IFERROR('FIRE SUPP - Ground Floor (1)'!N9,0)</f>
        <v>7933.8799081515499</v>
      </c>
      <c r="D3">
        <f>IFERROR('FIRE SUPP - Ground Floor (1)'!K9,0)</f>
        <v>5537.3</v>
      </c>
      <c r="E3" t="s">
        <v>1423</v>
      </c>
      <c r="F3" t="s">
        <v>1424</v>
      </c>
      <c r="H3" t="s">
        <v>1425</v>
      </c>
    </row>
    <row r="4" spans="1:8" x14ac:dyDescent="0.15">
      <c r="H4" t="s">
        <v>1426</v>
      </c>
    </row>
    <row r="5" spans="1:8" x14ac:dyDescent="0.15">
      <c r="H5" t="s">
        <v>1427</v>
      </c>
    </row>
    <row r="6" spans="1:8" x14ac:dyDescent="0.15">
      <c r="A6" t="s">
        <v>1428</v>
      </c>
      <c r="H6" t="s">
        <v>1429</v>
      </c>
    </row>
    <row r="7" spans="1:8" x14ac:dyDescent="0.15">
      <c r="B7" t="s">
        <v>1430</v>
      </c>
      <c r="C7">
        <f>SUMIF(A:A,"CANOPY",C:C)</f>
        <v>9733.3138645235376</v>
      </c>
      <c r="D7">
        <f>SUMIF(A:A,"CANOPY",D:D)</f>
        <v>5775.3603498999992</v>
      </c>
      <c r="H7" t="s">
        <v>1431</v>
      </c>
    </row>
    <row r="8" spans="1:8" x14ac:dyDescent="0.15">
      <c r="B8" t="s">
        <v>1432</v>
      </c>
      <c r="C8">
        <f>SUMIF(A:A,"FIRE SUPP",C:C)</f>
        <v>7933.8799081515499</v>
      </c>
      <c r="D8">
        <f>SUMIF(A:A,"FIRE SUPP",D:D)</f>
        <v>5537.3</v>
      </c>
      <c r="H8" t="s">
        <v>1433</v>
      </c>
    </row>
    <row r="9" spans="1:8" x14ac:dyDescent="0.15">
      <c r="B9" t="s">
        <v>1434</v>
      </c>
      <c r="C9">
        <f>SUMIF(A:A,"EBOX",C:C)</f>
        <v>0</v>
      </c>
      <c r="D9">
        <f>SUMIF(A:A,"EBOX",D:D)</f>
        <v>0</v>
      </c>
      <c r="H9" t="s">
        <v>1435</v>
      </c>
    </row>
    <row r="10" spans="1:8" x14ac:dyDescent="0.15">
      <c r="B10" t="s">
        <v>1436</v>
      </c>
      <c r="C10">
        <f>SUMIF(A:A,"SDU",C:C)</f>
        <v>0</v>
      </c>
      <c r="D10">
        <f>SUMIF(A:A,"SDU",D:D)</f>
        <v>0</v>
      </c>
      <c r="H10" t="s">
        <v>1437</v>
      </c>
    </row>
    <row r="11" spans="1:8" x14ac:dyDescent="0.15">
      <c r="B11" t="s">
        <v>1438</v>
      </c>
      <c r="C11">
        <f>SUMIF(A:A,"RECOAIR",C:C)</f>
        <v>0</v>
      </c>
      <c r="D11">
        <f>SUMIF(A:A,"RECOAIR",D:D)</f>
        <v>0</v>
      </c>
      <c r="H11" t="s">
        <v>1439</v>
      </c>
    </row>
    <row r="12" spans="1:8" x14ac:dyDescent="0.15">
      <c r="B12" t="s">
        <v>1440</v>
      </c>
      <c r="C12">
        <f>SUMIF(A:A,"MARVEL",C:C)</f>
        <v>0</v>
      </c>
      <c r="D12">
        <f>SUMIF(A:A,"MARVEL",D:D)</f>
        <v>0</v>
      </c>
      <c r="H12" t="s">
        <v>1441</v>
      </c>
    </row>
    <row r="13" spans="1:8" x14ac:dyDescent="0.15">
      <c r="B13" t="s">
        <v>1442</v>
      </c>
      <c r="C13">
        <f>SUMIF(A:A,"OTHER",C:C)</f>
        <v>0</v>
      </c>
      <c r="D13">
        <f>SUMIF(A:A,"OTHER",D:D)</f>
        <v>0</v>
      </c>
      <c r="H13" t="s">
        <v>1443</v>
      </c>
    </row>
    <row r="14" spans="1:8" x14ac:dyDescent="0.15">
      <c r="B14" t="s">
        <v>1444</v>
      </c>
      <c r="C14">
        <f>SUMIF(A:A,"UV_EXTRA_OVER",C:C)</f>
        <v>0</v>
      </c>
      <c r="D14">
        <f>SUMIF(A:A,"UV_EXTRA_OVER",D:D)</f>
        <v>0</v>
      </c>
      <c r="H14" t="s">
        <v>1445</v>
      </c>
    </row>
    <row r="15" spans="1:8" x14ac:dyDescent="0.15">
      <c r="B15" t="s">
        <v>0</v>
      </c>
      <c r="C15">
        <f>C7+C8+C9+C10+C11+C12+C13</f>
        <v>17667.193772675088</v>
      </c>
      <c r="D15">
        <f>D7+D8+D9+D10+D11+D12+D13</f>
        <v>11312.660349899999</v>
      </c>
      <c r="H15" t="s">
        <v>1446</v>
      </c>
    </row>
    <row r="16" spans="1:8" x14ac:dyDescent="0.15">
      <c r="H16" t="s">
        <v>1447</v>
      </c>
    </row>
    <row r="17" spans="8:8" x14ac:dyDescent="0.15">
      <c r="H17" t="s">
        <v>1448</v>
      </c>
    </row>
    <row r="18" spans="8:8" x14ac:dyDescent="0.15">
      <c r="H18" t="s">
        <v>1449</v>
      </c>
    </row>
    <row r="19" spans="8:8" x14ac:dyDescent="0.15">
      <c r="H19" t="s">
        <v>1450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174</vt:i4>
      </vt:variant>
      <vt:variant>
        <vt:lpstr>Named Ranges</vt:lpstr>
      </vt:variant>
      <vt:variant>
        <vt:i4>152</vt:i4>
      </vt:variant>
    </vt:vector>
  </HeadingPairs>
  <TitlesOfParts>
    <vt:vector size="326" baseType="lpstr">
      <vt:lpstr>JOB TOTAL</vt:lpstr>
      <vt:lpstr>CANOPY - Ground Floor (1)</vt:lpstr>
      <vt:lpstr>FIRE SUPP - Ground Floor (1)</vt:lpstr>
      <vt:lpstr>SPIRAL DUCT (11)</vt:lpstr>
      <vt:lpstr>SPIRAL DUCT (12)</vt:lpstr>
      <vt:lpstr>SUPPLY DUCT  (9)</vt:lpstr>
      <vt:lpstr>EXTRACT DUCT (9)</vt:lpstr>
      <vt:lpstr>AHU TEST (9)</vt:lpstr>
      <vt:lpstr>CONTRACT (9)</vt:lpstr>
      <vt:lpstr>VENT CLG (9)</vt:lpstr>
      <vt:lpstr>AEROLYS (9)</vt:lpstr>
      <vt:lpstr>POLLUSTOP (9)</vt:lpstr>
      <vt:lpstr>POLLU-LITE (9)</vt:lpstr>
      <vt:lpstr>REACTAWAY  (9)</vt:lpstr>
      <vt:lpstr>SPIRAL DUCT (13)</vt:lpstr>
      <vt:lpstr>SUPPLY DUCT  (10)</vt:lpstr>
      <vt:lpstr>EXTRACT DUCT (10)</vt:lpstr>
      <vt:lpstr>AHU TEST (10)</vt:lpstr>
      <vt:lpstr>CONTRACT (10)</vt:lpstr>
      <vt:lpstr>VENT CLG (10)</vt:lpstr>
      <vt:lpstr>AEROLYS (10)</vt:lpstr>
      <vt:lpstr>POLLUSTOP (10)</vt:lpstr>
      <vt:lpstr>POLLU-LITE (10)</vt:lpstr>
      <vt:lpstr>REACTAWAY  (10)</vt:lpstr>
      <vt:lpstr>SPIRAL DUCT (14)</vt:lpstr>
      <vt:lpstr>SUPPLY DUCT  (11)</vt:lpstr>
      <vt:lpstr>EXTRACT DUCT (11)</vt:lpstr>
      <vt:lpstr>AHU TEST (11)</vt:lpstr>
      <vt:lpstr>CONTRACT (11)</vt:lpstr>
      <vt:lpstr>VENT CLG (11)</vt:lpstr>
      <vt:lpstr>AEROLYS (11)</vt:lpstr>
      <vt:lpstr>POLLUSTOP (11)</vt:lpstr>
      <vt:lpstr>POLLU-LITE (11)</vt:lpstr>
      <vt:lpstr>REACTAWAY  (11)</vt:lpstr>
      <vt:lpstr>SPIRAL DUCT (15)</vt:lpstr>
      <vt:lpstr>SUPPLY DUCT  (12)</vt:lpstr>
      <vt:lpstr>EXTRACT DUCT (12)</vt:lpstr>
      <vt:lpstr>AHU TEST (12)</vt:lpstr>
      <vt:lpstr>CONTRACT (12)</vt:lpstr>
      <vt:lpstr>VENT CLG (12)</vt:lpstr>
      <vt:lpstr>AEROLYS (12)</vt:lpstr>
      <vt:lpstr>POLLUSTOP (12)</vt:lpstr>
      <vt:lpstr>POLLU-LITE (12)</vt:lpstr>
      <vt:lpstr>REACTAWAY  (12)</vt:lpstr>
      <vt:lpstr>SPIRAL DUCT (16)</vt:lpstr>
      <vt:lpstr>SPIRAL DUCT (17)</vt:lpstr>
      <vt:lpstr>SUPPLY DUCT  (13)</vt:lpstr>
      <vt:lpstr>EXTRACT DUCT (13)</vt:lpstr>
      <vt:lpstr>AHU TEST (13)</vt:lpstr>
      <vt:lpstr>CONTRACT (13)</vt:lpstr>
      <vt:lpstr>VENT CLG (13)</vt:lpstr>
      <vt:lpstr>AEROLYS (13)</vt:lpstr>
      <vt:lpstr>POLLUSTOP (13)</vt:lpstr>
      <vt:lpstr>POLLU-LITE (13)</vt:lpstr>
      <vt:lpstr>REACTAWAY  (13)</vt:lpstr>
      <vt:lpstr>SPIRAL DUCT (18)</vt:lpstr>
      <vt:lpstr>SUPPLY DUCT  (14)</vt:lpstr>
      <vt:lpstr>EXTRACT DUCT (14)</vt:lpstr>
      <vt:lpstr>AHU TEST (14)</vt:lpstr>
      <vt:lpstr>CONTRACT (14)</vt:lpstr>
      <vt:lpstr>VENT CLG (14)</vt:lpstr>
      <vt:lpstr>AEROLYS (14)</vt:lpstr>
      <vt:lpstr>POLLUSTOP (14)</vt:lpstr>
      <vt:lpstr>POLLU-LITE (14)</vt:lpstr>
      <vt:lpstr>REACTAWAY  (14)</vt:lpstr>
      <vt:lpstr>SPIRAL DUCT (19)</vt:lpstr>
      <vt:lpstr>SUPPLY DUCT  (15)</vt:lpstr>
      <vt:lpstr>EXTRACT DUCT (15)</vt:lpstr>
      <vt:lpstr>AHU TEST (15)</vt:lpstr>
      <vt:lpstr>CONTRACT (15)</vt:lpstr>
      <vt:lpstr>VENT CLG (15)</vt:lpstr>
      <vt:lpstr>AEROLYS (15)</vt:lpstr>
      <vt:lpstr>POLLUSTOP (15)</vt:lpstr>
      <vt:lpstr>POLLU-LITE (15)</vt:lpstr>
      <vt:lpstr>REACTAWAY  (15)</vt:lpstr>
      <vt:lpstr>SPIRAL DUCT (20)</vt:lpstr>
      <vt:lpstr>SUPPLY DUCT  (16)</vt:lpstr>
      <vt:lpstr>EXTRACT DUCT (16)</vt:lpstr>
      <vt:lpstr>AHU TEST (16)</vt:lpstr>
      <vt:lpstr>CONTRACT (16)</vt:lpstr>
      <vt:lpstr>VENT CLG (16)</vt:lpstr>
      <vt:lpstr>AEROLYS (16)</vt:lpstr>
      <vt:lpstr>POLLUSTOP (16)</vt:lpstr>
      <vt:lpstr>POLLU-LITE (16)</vt:lpstr>
      <vt:lpstr>REACTAWAY  (16)</vt:lpstr>
      <vt:lpstr>SPIRAL DUCT (6)</vt:lpstr>
      <vt:lpstr>SPIRAL DUCT (7)</vt:lpstr>
      <vt:lpstr>SUPPLY DUCT  (5)</vt:lpstr>
      <vt:lpstr>EXTRACT DUCT (5)</vt:lpstr>
      <vt:lpstr>AHU TEST (5)</vt:lpstr>
      <vt:lpstr>CONTRACT (5)</vt:lpstr>
      <vt:lpstr>VENT CLG (5)</vt:lpstr>
      <vt:lpstr>AEROLYS (5)</vt:lpstr>
      <vt:lpstr>POLLUSTOP (5)</vt:lpstr>
      <vt:lpstr>POLLU-LITE (5)</vt:lpstr>
      <vt:lpstr>REACTAWAY  (5)</vt:lpstr>
      <vt:lpstr>SPIRAL DUCT (8)</vt:lpstr>
      <vt:lpstr>SUPPLY DUCT  (6)</vt:lpstr>
      <vt:lpstr>EXTRACT DUCT (6)</vt:lpstr>
      <vt:lpstr>AHU TEST (6)</vt:lpstr>
      <vt:lpstr>CONTRACT (6)</vt:lpstr>
      <vt:lpstr>VENT CLG (6)</vt:lpstr>
      <vt:lpstr>AEROLYS (6)</vt:lpstr>
      <vt:lpstr>POLLUSTOP (6)</vt:lpstr>
      <vt:lpstr>POLLU-LITE (6)</vt:lpstr>
      <vt:lpstr>REACTAWAY  (6)</vt:lpstr>
      <vt:lpstr>SPIRAL DUCT (9)</vt:lpstr>
      <vt:lpstr>SUPPLY DUCT  (7)</vt:lpstr>
      <vt:lpstr>EXTRACT DUCT (7)</vt:lpstr>
      <vt:lpstr>AHU TEST (7)</vt:lpstr>
      <vt:lpstr>CONTRACT (7)</vt:lpstr>
      <vt:lpstr>VENT CLG (7)</vt:lpstr>
      <vt:lpstr>AEROLYS (7)</vt:lpstr>
      <vt:lpstr>POLLUSTOP (7)</vt:lpstr>
      <vt:lpstr>POLLU-LITE (7)</vt:lpstr>
      <vt:lpstr>REACTAWAY  (7)</vt:lpstr>
      <vt:lpstr>SPIRAL DUCT (10)</vt:lpstr>
      <vt:lpstr>SUPPLY DUCT  (8)</vt:lpstr>
      <vt:lpstr>EXTRACT DUCT (8)</vt:lpstr>
      <vt:lpstr>AHU TEST (8)</vt:lpstr>
      <vt:lpstr>CONTRACT (8)</vt:lpstr>
      <vt:lpstr>VENT CLG (8)</vt:lpstr>
      <vt:lpstr>AEROLYS (8)</vt:lpstr>
      <vt:lpstr>POLLUSTOP (8)</vt:lpstr>
      <vt:lpstr>POLLU-LITE (8)</vt:lpstr>
      <vt:lpstr>REACTAWAY  (8)</vt:lpstr>
      <vt:lpstr>SPIRAL DUCT (5)</vt:lpstr>
      <vt:lpstr>SPIRAL DUCT (3)</vt:lpstr>
      <vt:lpstr>SUPPLY DUCT  (3)</vt:lpstr>
      <vt:lpstr>EXTRACT DUCT (3)</vt:lpstr>
      <vt:lpstr>AHU TEST (3)</vt:lpstr>
      <vt:lpstr>CONTRACT (3)</vt:lpstr>
      <vt:lpstr>VENT CLG (3)</vt:lpstr>
      <vt:lpstr>AEROLYS (3)</vt:lpstr>
      <vt:lpstr>POLLUSTOP (3)</vt:lpstr>
      <vt:lpstr>POLLU-LITE (3)</vt:lpstr>
      <vt:lpstr>REACTAWAY  (3)</vt:lpstr>
      <vt:lpstr>SPIRAL DUCT (4)</vt:lpstr>
      <vt:lpstr>SUPPLY DUCT  (4)</vt:lpstr>
      <vt:lpstr>EXTRACT DUCT (4)</vt:lpstr>
      <vt:lpstr>AHU TEST (4)</vt:lpstr>
      <vt:lpstr>CONTRACT (4)</vt:lpstr>
      <vt:lpstr>VENT CLG (4)</vt:lpstr>
      <vt:lpstr>AEROLYS (4)</vt:lpstr>
      <vt:lpstr>POLLUSTOP (4)</vt:lpstr>
      <vt:lpstr>POLLU-LITE (4)</vt:lpstr>
      <vt:lpstr>REACTAWAY  (4)</vt:lpstr>
      <vt:lpstr>SPIRAL DUCT (2)</vt:lpstr>
      <vt:lpstr>SUPPLY DUCT  (2)</vt:lpstr>
      <vt:lpstr>EXTRACT DUCT (2)</vt:lpstr>
      <vt:lpstr>AHU TEST (2)</vt:lpstr>
      <vt:lpstr>CONTRACT (2)</vt:lpstr>
      <vt:lpstr>VENT CLG (2)</vt:lpstr>
      <vt:lpstr>AEROLYS (2)</vt:lpstr>
      <vt:lpstr>POLLUSTOP (2)</vt:lpstr>
      <vt:lpstr>POLLU-LITE (2)</vt:lpstr>
      <vt:lpstr>REACTAWAY  (2)</vt:lpstr>
      <vt:lpstr>Quote Price Schedule</vt:lpstr>
      <vt:lpstr>SPIRAL DUCT</vt:lpstr>
      <vt:lpstr>SUPPLY DUCT </vt:lpstr>
      <vt:lpstr>EXTRACT DUCT</vt:lpstr>
      <vt:lpstr>AHU TEST</vt:lpstr>
      <vt:lpstr>CONTRACT</vt:lpstr>
      <vt:lpstr>VENT CLG</vt:lpstr>
      <vt:lpstr>AEROLYS</vt:lpstr>
      <vt:lpstr>POLLUSTOP</vt:lpstr>
      <vt:lpstr>POLLU-LITE</vt:lpstr>
      <vt:lpstr>REACTAWAY </vt:lpstr>
      <vt:lpstr>INFECTAWAY</vt:lpstr>
      <vt:lpstr>Base Costs</vt:lpstr>
      <vt:lpstr>CC</vt:lpstr>
      <vt:lpstr>CCBASE</vt:lpstr>
      <vt:lpstr>ProjectData</vt:lpstr>
      <vt:lpstr>PRICING_SUMMARY</vt:lpstr>
      <vt:lpstr>FanSize</vt:lpstr>
      <vt:lpstr>AEROLYS!Print_Area</vt:lpstr>
      <vt:lpstr>'AEROLYS (10)'!Print_Area</vt:lpstr>
      <vt:lpstr>'AEROLYS (11)'!Print_Area</vt:lpstr>
      <vt:lpstr>'AEROLYS (12)'!Print_Area</vt:lpstr>
      <vt:lpstr>'AEROLYS (13)'!Print_Area</vt:lpstr>
      <vt:lpstr>'AEROLYS (14)'!Print_Area</vt:lpstr>
      <vt:lpstr>'AEROLYS (15)'!Print_Area</vt:lpstr>
      <vt:lpstr>'AEROLYS (16)'!Print_Area</vt:lpstr>
      <vt:lpstr>'AEROLYS (2)'!Print_Area</vt:lpstr>
      <vt:lpstr>'AEROLYS (3)'!Print_Area</vt:lpstr>
      <vt:lpstr>'AEROLYS (4)'!Print_Area</vt:lpstr>
      <vt:lpstr>'AEROLYS (5)'!Print_Area</vt:lpstr>
      <vt:lpstr>'AEROLYS (6)'!Print_Area</vt:lpstr>
      <vt:lpstr>'AEROLYS (7)'!Print_Area</vt:lpstr>
      <vt:lpstr>'AEROLYS (8)'!Print_Area</vt:lpstr>
      <vt:lpstr>'AEROLYS (9)'!Print_Area</vt:lpstr>
      <vt:lpstr>'AHU TEST'!Print_Area</vt:lpstr>
      <vt:lpstr>'AHU TEST (10)'!Print_Area</vt:lpstr>
      <vt:lpstr>'AHU TEST (11)'!Print_Area</vt:lpstr>
      <vt:lpstr>'AHU TEST (12)'!Print_Area</vt:lpstr>
      <vt:lpstr>'AHU TEST (13)'!Print_Area</vt:lpstr>
      <vt:lpstr>'AHU TEST (14)'!Print_Area</vt:lpstr>
      <vt:lpstr>'AHU TEST (15)'!Print_Area</vt:lpstr>
      <vt:lpstr>'AHU TEST (16)'!Print_Area</vt:lpstr>
      <vt:lpstr>'AHU TEST (2)'!Print_Area</vt:lpstr>
      <vt:lpstr>'AHU TEST (3)'!Print_Area</vt:lpstr>
      <vt:lpstr>'AHU TEST (4)'!Print_Area</vt:lpstr>
      <vt:lpstr>'AHU TEST (5)'!Print_Area</vt:lpstr>
      <vt:lpstr>'AHU TEST (6)'!Print_Area</vt:lpstr>
      <vt:lpstr>'AHU TEST (7)'!Print_Area</vt:lpstr>
      <vt:lpstr>'AHU TEST (8)'!Print_Area</vt:lpstr>
      <vt:lpstr>'AHU TEST (9)'!Print_Area</vt:lpstr>
      <vt:lpstr>'CANOPY - Ground Floor (1)'!Print_Area</vt:lpstr>
      <vt:lpstr>CONTRACT!Print_Area</vt:lpstr>
      <vt:lpstr>'CONTRACT (10)'!Print_Area</vt:lpstr>
      <vt:lpstr>'CONTRACT (11)'!Print_Area</vt:lpstr>
      <vt:lpstr>'CONTRACT (12)'!Print_Area</vt:lpstr>
      <vt:lpstr>'CONTRACT (13)'!Print_Area</vt:lpstr>
      <vt:lpstr>'CONTRACT (14)'!Print_Area</vt:lpstr>
      <vt:lpstr>'CONTRACT (15)'!Print_Area</vt:lpstr>
      <vt:lpstr>'CONTRACT (16)'!Print_Area</vt:lpstr>
      <vt:lpstr>'CONTRACT (2)'!Print_Area</vt:lpstr>
      <vt:lpstr>'CONTRACT (3)'!Print_Area</vt:lpstr>
      <vt:lpstr>'CONTRACT (4)'!Print_Area</vt:lpstr>
      <vt:lpstr>'CONTRACT (5)'!Print_Area</vt:lpstr>
      <vt:lpstr>'CONTRACT (6)'!Print_Area</vt:lpstr>
      <vt:lpstr>'CONTRACT (7)'!Print_Area</vt:lpstr>
      <vt:lpstr>'CONTRACT (8)'!Print_Area</vt:lpstr>
      <vt:lpstr>'CONTRACT (9)'!Print_Area</vt:lpstr>
      <vt:lpstr>'FIRE SUPP - Ground Floor (1)'!Print_Area</vt:lpstr>
      <vt:lpstr>INFECTAWAY!Print_Area</vt:lpstr>
      <vt:lpstr>'JOB TOTAL'!Print_Area</vt:lpstr>
      <vt:lpstr>'POLLU-LITE'!Print_Area</vt:lpstr>
      <vt:lpstr>'POLLU-LITE (10)'!Print_Area</vt:lpstr>
      <vt:lpstr>'POLLU-LITE (11)'!Print_Area</vt:lpstr>
      <vt:lpstr>'POLLU-LITE (12)'!Print_Area</vt:lpstr>
      <vt:lpstr>'POLLU-LITE (13)'!Print_Area</vt:lpstr>
      <vt:lpstr>'POLLU-LITE (14)'!Print_Area</vt:lpstr>
      <vt:lpstr>'POLLU-LITE (15)'!Print_Area</vt:lpstr>
      <vt:lpstr>'POLLU-LITE (16)'!Print_Area</vt:lpstr>
      <vt:lpstr>'POLLU-LITE (2)'!Print_Area</vt:lpstr>
      <vt:lpstr>'POLLU-LITE (3)'!Print_Area</vt:lpstr>
      <vt:lpstr>'POLLU-LITE (4)'!Print_Area</vt:lpstr>
      <vt:lpstr>'POLLU-LITE (5)'!Print_Area</vt:lpstr>
      <vt:lpstr>'POLLU-LITE (6)'!Print_Area</vt:lpstr>
      <vt:lpstr>'POLLU-LITE (7)'!Print_Area</vt:lpstr>
      <vt:lpstr>'POLLU-LITE (8)'!Print_Area</vt:lpstr>
      <vt:lpstr>'POLLU-LITE (9)'!Print_Area</vt:lpstr>
      <vt:lpstr>POLLUSTOP!Print_Area</vt:lpstr>
      <vt:lpstr>'POLLUSTOP (10)'!Print_Area</vt:lpstr>
      <vt:lpstr>'POLLUSTOP (11)'!Print_Area</vt:lpstr>
      <vt:lpstr>'POLLUSTOP (12)'!Print_Area</vt:lpstr>
      <vt:lpstr>'POLLUSTOP (13)'!Print_Area</vt:lpstr>
      <vt:lpstr>'POLLUSTOP (14)'!Print_Area</vt:lpstr>
      <vt:lpstr>'POLLUSTOP (15)'!Print_Area</vt:lpstr>
      <vt:lpstr>'POLLUSTOP (16)'!Print_Area</vt:lpstr>
      <vt:lpstr>'POLLUSTOP (2)'!Print_Area</vt:lpstr>
      <vt:lpstr>'POLLUSTOP (3)'!Print_Area</vt:lpstr>
      <vt:lpstr>'POLLUSTOP (4)'!Print_Area</vt:lpstr>
      <vt:lpstr>'POLLUSTOP (5)'!Print_Area</vt:lpstr>
      <vt:lpstr>'POLLUSTOP (6)'!Print_Area</vt:lpstr>
      <vt:lpstr>'POLLUSTOP (7)'!Print_Area</vt:lpstr>
      <vt:lpstr>'POLLUSTOP (8)'!Print_Area</vt:lpstr>
      <vt:lpstr>'POLLUSTOP (9)'!Print_Area</vt:lpstr>
      <vt:lpstr>'REACTAWAY '!Print_Area</vt:lpstr>
      <vt:lpstr>'REACTAWAY  (10)'!Print_Area</vt:lpstr>
      <vt:lpstr>'REACTAWAY  (11)'!Print_Area</vt:lpstr>
      <vt:lpstr>'REACTAWAY  (12)'!Print_Area</vt:lpstr>
      <vt:lpstr>'REACTAWAY  (13)'!Print_Area</vt:lpstr>
      <vt:lpstr>'REACTAWAY  (14)'!Print_Area</vt:lpstr>
      <vt:lpstr>'REACTAWAY  (15)'!Print_Area</vt:lpstr>
      <vt:lpstr>'REACTAWAY  (16)'!Print_Area</vt:lpstr>
      <vt:lpstr>'REACTAWAY  (2)'!Print_Area</vt:lpstr>
      <vt:lpstr>'REACTAWAY  (3)'!Print_Area</vt:lpstr>
      <vt:lpstr>'REACTAWAY  (4)'!Print_Area</vt:lpstr>
      <vt:lpstr>'REACTAWAY  (5)'!Print_Area</vt:lpstr>
      <vt:lpstr>'REACTAWAY  (6)'!Print_Area</vt:lpstr>
      <vt:lpstr>'REACTAWAY  (7)'!Print_Area</vt:lpstr>
      <vt:lpstr>'REACTAWAY  (8)'!Print_Area</vt:lpstr>
      <vt:lpstr>'REACTAWAY  (9)'!Print_Area</vt:lpstr>
      <vt:lpstr>'VENT CLG'!Print_Area</vt:lpstr>
      <vt:lpstr>'VENT CLG (10)'!Print_Area</vt:lpstr>
      <vt:lpstr>'VENT CLG (11)'!Print_Area</vt:lpstr>
      <vt:lpstr>'VENT CLG (12)'!Print_Area</vt:lpstr>
      <vt:lpstr>'VENT CLG (13)'!Print_Area</vt:lpstr>
      <vt:lpstr>'VENT CLG (14)'!Print_Area</vt:lpstr>
      <vt:lpstr>'VENT CLG (15)'!Print_Area</vt:lpstr>
      <vt:lpstr>'VENT CLG (16)'!Print_Area</vt:lpstr>
      <vt:lpstr>'VENT CLG (2)'!Print_Area</vt:lpstr>
      <vt:lpstr>'VENT CLG (3)'!Print_Area</vt:lpstr>
      <vt:lpstr>'VENT CLG (4)'!Print_Area</vt:lpstr>
      <vt:lpstr>'VENT CLG (5)'!Print_Area</vt:lpstr>
      <vt:lpstr>'VENT CLG (6)'!Print_Area</vt:lpstr>
      <vt:lpstr>'VENT CLG (7)'!Print_Area</vt:lpstr>
      <vt:lpstr>'VENT CLG (8)'!Print_Area</vt:lpstr>
      <vt:lpstr>'VENT CLG (9)'!Print_Area</vt:lpstr>
      <vt:lpstr>INFECTAWAY!SELECTPLANTHIRE</vt:lpstr>
      <vt:lpstr>'JOB TOTAL'!SELECTPLANTHIRE</vt:lpstr>
      <vt:lpstr>'POLLU-LITE'!SELECTPLANTHIRE</vt:lpstr>
      <vt:lpstr>'POLLU-LITE (10)'!SELECTPLANTHIRE</vt:lpstr>
      <vt:lpstr>'POLLU-LITE (11)'!SELECTPLANTHIRE</vt:lpstr>
      <vt:lpstr>'POLLU-LITE (12)'!SELECTPLANTHIRE</vt:lpstr>
      <vt:lpstr>'POLLU-LITE (13)'!SELECTPLANTHIRE</vt:lpstr>
      <vt:lpstr>'POLLU-LITE (14)'!SELECTPLANTHIRE</vt:lpstr>
      <vt:lpstr>'POLLU-LITE (15)'!SELECTPLANTHIRE</vt:lpstr>
      <vt:lpstr>'POLLU-LITE (16)'!SELECTPLANTHIRE</vt:lpstr>
      <vt:lpstr>'POLLU-LITE (2)'!SELECTPLANTHIRE</vt:lpstr>
      <vt:lpstr>'POLLU-LITE (3)'!SELECTPLANTHIRE</vt:lpstr>
      <vt:lpstr>'POLLU-LITE (4)'!SELECTPLANTHIRE</vt:lpstr>
      <vt:lpstr>'POLLU-LITE (5)'!SELECTPLANTHIRE</vt:lpstr>
      <vt:lpstr>'POLLU-LITE (6)'!SELECTPLANTHIRE</vt:lpstr>
      <vt:lpstr>'POLLU-LITE (7)'!SELECTPLANTHIRE</vt:lpstr>
      <vt:lpstr>'POLLU-LITE (8)'!SELECTPLANTHIRE</vt:lpstr>
      <vt:lpstr>'POLLU-LITE (9)'!SELECTPLANTHIRE</vt:lpstr>
      <vt:lpstr>'REACTAWAY '!SELECTPLANTHIRE</vt:lpstr>
      <vt:lpstr>'REACTAWAY  (10)'!SELECTPLANTHIRE</vt:lpstr>
      <vt:lpstr>'REACTAWAY  (11)'!SELECTPLANTHIRE</vt:lpstr>
      <vt:lpstr>'REACTAWAY  (12)'!SELECTPLANTHIRE</vt:lpstr>
      <vt:lpstr>'REACTAWAY  (13)'!SELECTPLANTHIRE</vt:lpstr>
      <vt:lpstr>'REACTAWAY  (14)'!SELECTPLANTHIRE</vt:lpstr>
      <vt:lpstr>'REACTAWAY  (15)'!SELECTPLANTHIRE</vt:lpstr>
      <vt:lpstr>'REACTAWAY  (16)'!SELECTPLANTHIRE</vt:lpstr>
      <vt:lpstr>'REACTAWAY  (2)'!SELECTPLANTHIRE</vt:lpstr>
      <vt:lpstr>'REACTAWAY  (3)'!SELECTPLANTHIRE</vt:lpstr>
      <vt:lpstr>'REACTAWAY  (4)'!SELECTPLANTHIRE</vt:lpstr>
      <vt:lpstr>'REACTAWAY  (5)'!SELECTPLANTHIRE</vt:lpstr>
      <vt:lpstr>'REACTAWAY  (6)'!SELECTPLANTHIRE</vt:lpstr>
      <vt:lpstr>'REACTAWAY  (7)'!SELECTPLANTHIRE</vt:lpstr>
      <vt:lpstr>'REACTAWAY  (8)'!SELECTPLANTHIRE</vt:lpstr>
      <vt:lpstr>'REACTAWAY  (9)'!SELECTPLANTHIRE</vt:lpstr>
      <vt:lpstr>SIZE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2025-07-08T11:30:12Z</dcterms:modified>
  <dc:language>English</dc:language>
  <cp:version>2015</cp:version>
</cp:coreProperties>
</file>